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遠藤 靖\◆おれの料金改定\にいがたツール\"/>
    </mc:Choice>
  </mc:AlternateContent>
  <workbookProtection workbookPassword="CAED" lockStructure="1"/>
  <bookViews>
    <workbookView xWindow="0" yWindow="0" windowWidth="20490" windowHeight="8220"/>
  </bookViews>
  <sheets>
    <sheet name="Niigata" sheetId="1" r:id="rId1"/>
    <sheet name="Sheet1" sheetId="2" state="hidden" r:id="rId2"/>
  </sheets>
  <definedNames>
    <definedName name="_xlnm.Print_Area" localSheetId="0">Niigata!$A$1:$X$20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B28" i="2" s="1"/>
  <c r="D26" i="2"/>
  <c r="B27" i="2" s="1"/>
  <c r="D25" i="2"/>
  <c r="B26" i="2" s="1"/>
  <c r="F24" i="2"/>
  <c r="J30" i="2" s="1"/>
  <c r="D24" i="2"/>
  <c r="B25" i="2" s="1"/>
  <c r="K21" i="2"/>
  <c r="AA12" i="2"/>
  <c r="Y13" i="2" s="1"/>
  <c r="J12" i="2"/>
  <c r="H13" i="2" s="1"/>
  <c r="AA11" i="2"/>
  <c r="Y12" i="2" s="1"/>
  <c r="J11" i="2"/>
  <c r="H12" i="2" s="1"/>
  <c r="AA10" i="2"/>
  <c r="Y11" i="2" s="1"/>
  <c r="J10" i="2"/>
  <c r="H11" i="2" s="1"/>
  <c r="H10" i="2"/>
  <c r="AA9" i="2"/>
  <c r="Y10" i="2" s="1"/>
  <c r="J9" i="2"/>
  <c r="AA8" i="2"/>
  <c r="Y9" i="2" s="1"/>
  <c r="J8" i="2"/>
  <c r="H9" i="2" s="1"/>
  <c r="AA7" i="2"/>
  <c r="J7" i="2"/>
  <c r="F2" i="2"/>
  <c r="H27" i="2" s="1"/>
  <c r="J27" i="2" s="1"/>
  <c r="C2" i="2"/>
  <c r="V13" i="2" s="1"/>
  <c r="H28" i="2" l="1"/>
  <c r="J28" i="2" s="1"/>
  <c r="AD8" i="2"/>
  <c r="AF8" i="2" s="1"/>
  <c r="E12" i="2"/>
  <c r="AD13" i="2"/>
  <c r="AF13" i="2" s="1"/>
  <c r="V7" i="2"/>
  <c r="V9" i="2"/>
  <c r="M10" i="2"/>
  <c r="O10" i="2" s="1"/>
  <c r="AD12" i="2"/>
  <c r="AF12" i="2" s="1"/>
  <c r="V10" i="2"/>
  <c r="V15" i="2"/>
  <c r="E8" i="2"/>
  <c r="E14" i="2"/>
  <c r="H26" i="2"/>
  <c r="J26" i="2" s="1"/>
  <c r="AD7" i="2"/>
  <c r="E15" i="2"/>
  <c r="M11" i="2"/>
  <c r="O11" i="2" s="1"/>
  <c r="E9" i="2"/>
  <c r="E16" i="2"/>
  <c r="V11" i="2"/>
  <c r="M12" i="2"/>
  <c r="O12" i="2" s="1"/>
  <c r="V16" i="2"/>
  <c r="H24" i="2"/>
  <c r="E7" i="2"/>
  <c r="AD9" i="2"/>
  <c r="AF9" i="2" s="1"/>
  <c r="E13" i="2"/>
  <c r="M7" i="2"/>
  <c r="M8" i="2"/>
  <c r="O8" i="2" s="1"/>
  <c r="E10" i="2"/>
  <c r="AD10" i="2"/>
  <c r="AF10" i="2" s="1"/>
  <c r="M13" i="2"/>
  <c r="O13" i="2" s="1"/>
  <c r="E17" i="2"/>
  <c r="M9" i="2"/>
  <c r="O9" i="2" s="1"/>
  <c r="V12" i="2"/>
  <c r="V14" i="2"/>
  <c r="V17" i="2"/>
  <c r="V8" i="2"/>
  <c r="E11" i="2"/>
  <c r="AD11" i="2"/>
  <c r="AF11" i="2" s="1"/>
  <c r="H25" i="2"/>
  <c r="J25" i="2" s="1"/>
  <c r="J29" i="2" s="1"/>
  <c r="J31" i="2" s="1"/>
  <c r="O2" i="2" s="1"/>
  <c r="E18" i="2" l="1"/>
  <c r="V18" i="2"/>
  <c r="H29" i="2"/>
  <c r="M14" i="2"/>
  <c r="O7" i="2"/>
  <c r="O14" i="2" s="1"/>
  <c r="AD14" i="2"/>
  <c r="AF7" i="2"/>
  <c r="AF14" i="2" s="1"/>
  <c r="L12" i="1"/>
  <c r="U2" i="2" l="1"/>
  <c r="I14" i="1" s="1"/>
  <c r="J2" i="2"/>
  <c r="I15" i="1" l="1"/>
  <c r="I12" i="1"/>
  <c r="O12" i="1" s="1"/>
</calcChain>
</file>

<file path=xl/sharedStrings.xml><?xml version="1.0" encoding="utf-8"?>
<sst xmlns="http://schemas.openxmlformats.org/spreadsheetml/2006/main" count="64" uniqueCount="46">
  <si>
    <t>水道準備料金単価表</t>
    <rPh sb="0" eb="2">
      <t>スイドウ</t>
    </rPh>
    <rPh sb="2" eb="4">
      <t>ジュンビ</t>
    </rPh>
    <rPh sb="4" eb="6">
      <t>リョウキン</t>
    </rPh>
    <rPh sb="6" eb="8">
      <t>タンカ</t>
    </rPh>
    <rPh sb="8" eb="9">
      <t>ヒョウ</t>
    </rPh>
    <phoneticPr fontId="4"/>
  </si>
  <si>
    <t>水道水量範囲：単価表</t>
    <rPh sb="0" eb="2">
      <t>スイドウ</t>
    </rPh>
    <rPh sb="2" eb="4">
      <t>スイリョウ</t>
    </rPh>
    <rPh sb="4" eb="6">
      <t>ハンイ</t>
    </rPh>
    <rPh sb="7" eb="9">
      <t>タンカ</t>
    </rPh>
    <rPh sb="9" eb="10">
      <t>ヒョウ</t>
    </rPh>
    <phoneticPr fontId="4"/>
  </si>
  <si>
    <t>水道使用料金</t>
    <rPh sb="0" eb="2">
      <t>スイドウ</t>
    </rPh>
    <rPh sb="2" eb="4">
      <t>シヨウ</t>
    </rPh>
    <rPh sb="4" eb="6">
      <t>リョウキン</t>
    </rPh>
    <phoneticPr fontId="4"/>
  </si>
  <si>
    <t>口径</t>
    <rPh sb="0" eb="2">
      <t>コウケイ</t>
    </rPh>
    <phoneticPr fontId="4"/>
  </si>
  <si>
    <t>１ヶ月料金</t>
    <rPh sb="2" eb="3">
      <t>ゲツ</t>
    </rPh>
    <rPh sb="3" eb="5">
      <t>リョウキン</t>
    </rPh>
    <phoneticPr fontId="4"/>
  </si>
  <si>
    <t>発生料金</t>
    <rPh sb="0" eb="2">
      <t>ハッセイ</t>
    </rPh>
    <rPh sb="2" eb="4">
      <t>リョウキン</t>
    </rPh>
    <phoneticPr fontId="4"/>
  </si>
  <si>
    <t>TO</t>
    <phoneticPr fontId="4"/>
  </si>
  <si>
    <t>FROM</t>
    <phoneticPr fontId="4"/>
  </si>
  <si>
    <t>単価</t>
    <rPh sb="0" eb="2">
      <t>タンカ</t>
    </rPh>
    <phoneticPr fontId="4"/>
  </si>
  <si>
    <t>使用水量</t>
    <rPh sb="0" eb="2">
      <t>シヨウ</t>
    </rPh>
    <rPh sb="2" eb="4">
      <t>スイリョウ</t>
    </rPh>
    <phoneticPr fontId="4"/>
  </si>
  <si>
    <t>料金</t>
    <rPh sb="0" eb="2">
      <t>リョウキン</t>
    </rPh>
    <phoneticPr fontId="4"/>
  </si>
  <si>
    <t>φ13,16,20</t>
    <phoneticPr fontId="4"/>
  </si>
  <si>
    <t>φ25以上</t>
    <rPh sb="3" eb="5">
      <t>イジョウ</t>
    </rPh>
    <phoneticPr fontId="4"/>
  </si>
  <si>
    <t>over</t>
    <phoneticPr fontId="4"/>
  </si>
  <si>
    <t>【下水道料金計算テーブル】</t>
    <rPh sb="1" eb="4">
      <t>ゲスイドウ</t>
    </rPh>
    <rPh sb="4" eb="6">
      <t>リョウキン</t>
    </rPh>
    <rPh sb="6" eb="8">
      <t>ケイサン</t>
    </rPh>
    <phoneticPr fontId="4"/>
  </si>
  <si>
    <t>下水汚水量範囲：単価表</t>
    <rPh sb="0" eb="2">
      <t>ゲスイ</t>
    </rPh>
    <rPh sb="2" eb="4">
      <t>オスイ</t>
    </rPh>
    <rPh sb="4" eb="5">
      <t>リョウ</t>
    </rPh>
    <rPh sb="5" eb="7">
      <t>ハンイ</t>
    </rPh>
    <rPh sb="8" eb="10">
      <t>タンカ</t>
    </rPh>
    <rPh sb="10" eb="11">
      <t>ヒョウ</t>
    </rPh>
    <phoneticPr fontId="4"/>
  </si>
  <si>
    <t>下水使用料金</t>
    <rPh sb="0" eb="2">
      <t>ゲスイ</t>
    </rPh>
    <rPh sb="2" eb="4">
      <t>シヨウ</t>
    </rPh>
    <rPh sb="4" eb="6">
      <t>リョウキン</t>
    </rPh>
    <phoneticPr fontId="4"/>
  </si>
  <si>
    <t>基本料金</t>
    <rPh sb="0" eb="2">
      <t>キホン</t>
    </rPh>
    <rPh sb="2" eb="4">
      <t>リョウキン</t>
    </rPh>
    <phoneticPr fontId="4"/>
  </si>
  <si>
    <t>　</t>
    <phoneticPr fontId="4"/>
  </si>
  <si>
    <t>排除量</t>
    <rPh sb="0" eb="2">
      <t>ハイジョ</t>
    </rPh>
    <rPh sb="2" eb="3">
      <t>リョウ</t>
    </rPh>
    <phoneticPr fontId="4"/>
  </si>
  <si>
    <t>口径</t>
    <rPh sb="0" eb="2">
      <t>コウケイ</t>
    </rPh>
    <phoneticPr fontId="3"/>
  </si>
  <si>
    <t>水量</t>
    <rPh sb="0" eb="2">
      <t>スイリョウ</t>
    </rPh>
    <phoneticPr fontId="3"/>
  </si>
  <si>
    <t>下水</t>
    <rPh sb="0" eb="2">
      <t>ゲスイ</t>
    </rPh>
    <phoneticPr fontId="3"/>
  </si>
  <si>
    <t>税抜金額</t>
    <rPh sb="0" eb="1">
      <t>ゼイ</t>
    </rPh>
    <rPh sb="1" eb="2">
      <t>ヌ</t>
    </rPh>
    <rPh sb="2" eb="4">
      <t>キンガク</t>
    </rPh>
    <phoneticPr fontId="4"/>
  </si>
  <si>
    <t>下水金額</t>
    <rPh sb="0" eb="2">
      <t>ゲスイ</t>
    </rPh>
    <rPh sb="2" eb="4">
      <t>キンガク</t>
    </rPh>
    <phoneticPr fontId="3"/>
  </si>
  <si>
    <t>請求金額</t>
    <rPh sb="0" eb="2">
      <t>セイキュウ</t>
    </rPh>
    <rPh sb="2" eb="4">
      <t>キンガク</t>
    </rPh>
    <phoneticPr fontId="3"/>
  </si>
  <si>
    <t>合計金額　(円)</t>
    <rPh sb="0" eb="2">
      <t>ゴウケイ</t>
    </rPh>
    <rPh sb="2" eb="4">
      <t>キンガク</t>
    </rPh>
    <rPh sb="6" eb="7">
      <t>エン</t>
    </rPh>
    <phoneticPr fontId="3"/>
  </si>
  <si>
    <t>水道料金　(円)</t>
    <rPh sb="0" eb="2">
      <t>スイドウ</t>
    </rPh>
    <rPh sb="2" eb="4">
      <t>リョウキン</t>
    </rPh>
    <rPh sb="6" eb="7">
      <t>エン</t>
    </rPh>
    <phoneticPr fontId="3"/>
  </si>
  <si>
    <t>①メーター口径</t>
    <rPh sb="5" eb="7">
      <t>コウケイ</t>
    </rPh>
    <phoneticPr fontId="3"/>
  </si>
  <si>
    <t>②使用水量</t>
    <rPh sb="1" eb="3">
      <t>シヨウ</t>
    </rPh>
    <rPh sb="3" eb="5">
      <t>スイリョウ</t>
    </rPh>
    <phoneticPr fontId="3"/>
  </si>
  <si>
    <t>③下水道の有無</t>
    <rPh sb="1" eb="4">
      <t>ゲスイドウ</t>
    </rPh>
    <rPh sb="5" eb="7">
      <t>ウム</t>
    </rPh>
    <phoneticPr fontId="3"/>
  </si>
  <si>
    <t>【※旧料金！上水道料金計算テーブル】</t>
    <rPh sb="2" eb="3">
      <t>キュウ</t>
    </rPh>
    <rPh sb="3" eb="5">
      <t>リョウキン</t>
    </rPh>
    <rPh sb="6" eb="9">
      <t>ジョウスイドウ</t>
    </rPh>
    <rPh sb="9" eb="11">
      <t>リョウキン</t>
    </rPh>
    <rPh sb="11" eb="13">
      <t>ケイサン</t>
    </rPh>
    <phoneticPr fontId="4"/>
  </si>
  <si>
    <t>【※改定後！上水道料金計算テーブル】</t>
    <rPh sb="2" eb="4">
      <t>カイテイ</t>
    </rPh>
    <rPh sb="4" eb="5">
      <t>ゴ</t>
    </rPh>
    <rPh sb="6" eb="9">
      <t>ジョウスイドウ</t>
    </rPh>
    <rPh sb="9" eb="11">
      <t>リョウキン</t>
    </rPh>
    <rPh sb="11" eb="13">
      <t>ケイサン</t>
    </rPh>
    <phoneticPr fontId="4"/>
  </si>
  <si>
    <t>φ13,16</t>
    <phoneticPr fontId="4"/>
  </si>
  <si>
    <t>φ20以上</t>
    <rPh sb="3" eb="5">
      <t>イジョウ</t>
    </rPh>
    <phoneticPr fontId="4"/>
  </si>
  <si>
    <t>あり</t>
  </si>
  <si>
    <t>シン水道金額</t>
    <rPh sb="2" eb="4">
      <t>スイドウ</t>
    </rPh>
    <rPh sb="4" eb="6">
      <t>キンガク</t>
    </rPh>
    <phoneticPr fontId="3"/>
  </si>
  <si>
    <t>旧水道金額</t>
    <rPh sb="0" eb="1">
      <t>キュウ</t>
    </rPh>
    <rPh sb="1" eb="3">
      <t>スイドウ</t>
    </rPh>
    <rPh sb="3" eb="5">
      <t>キンガク</t>
    </rPh>
    <phoneticPr fontId="3"/>
  </si>
  <si>
    <t>-</t>
    <phoneticPr fontId="3"/>
  </si>
  <si>
    <t>改定前の料金</t>
    <rPh sb="0" eb="2">
      <t>カイテイ</t>
    </rPh>
    <rPh sb="2" eb="3">
      <t>マエ</t>
    </rPh>
    <rPh sb="4" eb="6">
      <t>リョウキン</t>
    </rPh>
    <phoneticPr fontId="3"/>
  </si>
  <si>
    <t>差額</t>
    <rPh sb="0" eb="2">
      <t>サガク</t>
    </rPh>
    <phoneticPr fontId="3"/>
  </si>
  <si>
    <t>下水道使用料　(円)</t>
    <rPh sb="0" eb="3">
      <t>ゲスイドウ</t>
    </rPh>
    <rPh sb="3" eb="5">
      <t>シヨウ</t>
    </rPh>
    <rPh sb="5" eb="6">
      <t>リョウ</t>
    </rPh>
    <rPh sb="8" eb="9">
      <t>エン</t>
    </rPh>
    <phoneticPr fontId="3"/>
  </si>
  <si>
    <t>※令和７年１月１日改定後の「一般用・２カ月分」の料金を計算します。なお、下水道使用料の改定はありません。</t>
    <rPh sb="1" eb="3">
      <t>レイワ</t>
    </rPh>
    <rPh sb="4" eb="5">
      <t>ネン</t>
    </rPh>
    <rPh sb="6" eb="7">
      <t>ガツ</t>
    </rPh>
    <rPh sb="8" eb="9">
      <t>ヒ</t>
    </rPh>
    <rPh sb="9" eb="11">
      <t>カイテイ</t>
    </rPh>
    <rPh sb="11" eb="12">
      <t>ゴ</t>
    </rPh>
    <rPh sb="14" eb="17">
      <t>イッパンヨウ</t>
    </rPh>
    <rPh sb="20" eb="21">
      <t>ゲツ</t>
    </rPh>
    <rPh sb="21" eb="22">
      <t>ブン</t>
    </rPh>
    <rPh sb="24" eb="26">
      <t>リョウキン</t>
    </rPh>
    <rPh sb="27" eb="29">
      <t>ケイサン</t>
    </rPh>
    <rPh sb="36" eb="42">
      <t>ゲスイドウシヨウリョウ</t>
    </rPh>
    <rPh sb="43" eb="45">
      <t>カイテイ</t>
    </rPh>
    <phoneticPr fontId="3"/>
  </si>
  <si>
    <t>　左の《お客さま入力欄》に必要項目を入力してください。</t>
    <rPh sb="1" eb="2">
      <t>ヒダリ</t>
    </rPh>
    <rPh sb="5" eb="6">
      <t>キャク</t>
    </rPh>
    <rPh sb="8" eb="10">
      <t>ニュウリョク</t>
    </rPh>
    <rPh sb="10" eb="11">
      <t>ラン</t>
    </rPh>
    <rPh sb="13" eb="15">
      <t>ヒツヨウ</t>
    </rPh>
    <rPh sb="15" eb="17">
      <t>コウモク</t>
    </rPh>
    <rPh sb="18" eb="20">
      <t>ニュウリョク</t>
    </rPh>
    <phoneticPr fontId="3"/>
  </si>
  <si>
    <t>消費税等相当額を含みます。</t>
    <rPh sb="3" eb="4">
      <t>トウ</t>
    </rPh>
    <rPh sb="4" eb="6">
      <t>ソウトウ</t>
    </rPh>
    <rPh sb="6" eb="7">
      <t>ガク</t>
    </rPh>
    <phoneticPr fontId="3"/>
  </si>
  <si>
    <t>　①メーター口径を選択　②使用水量を入力　③下水道の有無を選択　（メーター口径は検針票に記載されています。）</t>
    <rPh sb="6" eb="8">
      <t>コウケイ</t>
    </rPh>
    <rPh sb="9" eb="11">
      <t>センタク</t>
    </rPh>
    <rPh sb="13" eb="15">
      <t>シヨウ</t>
    </rPh>
    <rPh sb="15" eb="17">
      <t>スイリョウ</t>
    </rPh>
    <rPh sb="18" eb="20">
      <t>ニュウリョク</t>
    </rPh>
    <rPh sb="22" eb="25">
      <t>ゲスイドウ</t>
    </rPh>
    <rPh sb="26" eb="28">
      <t>ウム</t>
    </rPh>
    <rPh sb="29" eb="31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</si>
</sst>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###&quot;mm&quot;"/>
    <numFmt numFmtId="177" formatCode="0&quot;㎥&quot;"/>
    <numFmt numFmtId="178" formatCode="#,##0&quot;円&quot;"/>
    <numFmt numFmtId="179" formatCode="###0&quot;ｍ3&quot;"/>
    <numFmt numFmtId="180" formatCode="###&quot;㎥&quot;"/>
    <numFmt numFmtId="181" formatCode="0.0&quot;ヶ月&quot;"/>
    <numFmt numFmtId="182" formatCode="0&quot;mm&quot;"/>
    <numFmt numFmtId="183" formatCode="0&quot;m3&quot;"/>
    <numFmt numFmtId="184" formatCode="\+#,##0;[Red]\-#,##0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C00000"/>
      </left>
      <right style="hair">
        <color rgb="FFC00000"/>
      </right>
      <top style="double">
        <color rgb="FFC00000"/>
      </top>
      <bottom style="double">
        <color rgb="FFC00000"/>
      </bottom>
      <diagonal/>
    </border>
    <border>
      <left style="hair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double">
        <color rgb="FF0070C0"/>
      </left>
      <right style="hair">
        <color rgb="FF0070C0"/>
      </right>
      <top style="double">
        <color rgb="FF0070C0"/>
      </top>
      <bottom style="double">
        <color rgb="FF0070C0"/>
      </bottom>
      <diagonal/>
    </border>
    <border>
      <left style="hair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5" fillId="2" borderId="8" xfId="0" applyFont="1" applyFill="1" applyBorder="1" applyAlignment="1">
      <alignment horizontal="center" vertical="center"/>
    </xf>
    <xf numFmtId="42" fontId="5" fillId="2" borderId="9" xfId="0" applyNumberFormat="1" applyFont="1" applyFill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 shrinkToFit="1"/>
    </xf>
    <xf numFmtId="178" fontId="5" fillId="0" borderId="20" xfId="0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 shrinkToFit="1"/>
    </xf>
    <xf numFmtId="178" fontId="5" fillId="0" borderId="23" xfId="0" applyNumberFormat="1" applyFont="1" applyBorder="1" applyAlignment="1">
      <alignment vertical="center" shrinkToFit="1"/>
    </xf>
    <xf numFmtId="178" fontId="5" fillId="0" borderId="31" xfId="0" applyNumberFormat="1" applyFont="1" applyBorder="1" applyAlignment="1">
      <alignment vertical="center" shrinkToFit="1"/>
    </xf>
    <xf numFmtId="0" fontId="5" fillId="0" borderId="0" xfId="0" applyFont="1" applyBorder="1">
      <alignment vertical="center"/>
    </xf>
    <xf numFmtId="178" fontId="5" fillId="0" borderId="0" xfId="0" applyNumberFormat="1" applyFont="1" applyBorder="1" applyAlignment="1">
      <alignment vertical="center"/>
    </xf>
    <xf numFmtId="0" fontId="6" fillId="0" borderId="0" xfId="0" applyFont="1">
      <alignment vertical="center"/>
    </xf>
    <xf numFmtId="176" fontId="5" fillId="0" borderId="29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38" fontId="9" fillId="0" borderId="51" xfId="1" applyFont="1" applyBorder="1">
      <alignment vertical="center"/>
    </xf>
    <xf numFmtId="0" fontId="11" fillId="0" borderId="0" xfId="0" applyFont="1">
      <alignment vertical="center"/>
    </xf>
    <xf numFmtId="0" fontId="13" fillId="6" borderId="0" xfId="0" applyFont="1" applyFill="1">
      <alignment vertical="center"/>
    </xf>
    <xf numFmtId="0" fontId="13" fillId="6" borderId="0" xfId="0" applyFont="1" applyFill="1" applyBorder="1">
      <alignment vertical="center"/>
    </xf>
    <xf numFmtId="0" fontId="14" fillId="6" borderId="0" xfId="0" applyFont="1" applyFill="1" applyBorder="1">
      <alignment vertical="center"/>
    </xf>
    <xf numFmtId="0" fontId="13" fillId="6" borderId="52" xfId="0" applyFont="1" applyFill="1" applyBorder="1">
      <alignment vertical="center"/>
    </xf>
    <xf numFmtId="0" fontId="13" fillId="6" borderId="53" xfId="0" applyFont="1" applyFill="1" applyBorder="1">
      <alignment vertical="center"/>
    </xf>
    <xf numFmtId="0" fontId="13" fillId="6" borderId="54" xfId="0" applyFont="1" applyFill="1" applyBorder="1">
      <alignment vertical="center"/>
    </xf>
    <xf numFmtId="0" fontId="13" fillId="6" borderId="55" xfId="0" applyFont="1" applyFill="1" applyBorder="1">
      <alignment vertical="center"/>
    </xf>
    <xf numFmtId="0" fontId="13" fillId="6" borderId="56" xfId="0" applyFont="1" applyFill="1" applyBorder="1">
      <alignment vertical="center"/>
    </xf>
    <xf numFmtId="0" fontId="13" fillId="6" borderId="57" xfId="0" applyFont="1" applyFill="1" applyBorder="1">
      <alignment vertical="center"/>
    </xf>
    <xf numFmtId="0" fontId="13" fillId="6" borderId="58" xfId="0" applyFont="1" applyFill="1" applyBorder="1">
      <alignment vertical="center"/>
    </xf>
    <xf numFmtId="0" fontId="13" fillId="6" borderId="59" xfId="0" applyFont="1" applyFill="1" applyBorder="1">
      <alignment vertical="center"/>
    </xf>
    <xf numFmtId="182" fontId="9" fillId="0" borderId="51" xfId="0" applyNumberFormat="1" applyFont="1" applyBorder="1">
      <alignment vertical="center"/>
    </xf>
    <xf numFmtId="0" fontId="0" fillId="6" borderId="0" xfId="0" applyFill="1">
      <alignment vertical="center"/>
    </xf>
    <xf numFmtId="0" fontId="15" fillId="6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right" vertical="center"/>
    </xf>
    <xf numFmtId="0" fontId="21" fillId="6" borderId="0" xfId="0" applyFont="1" applyFill="1" applyBorder="1">
      <alignment vertical="center"/>
    </xf>
    <xf numFmtId="0" fontId="13" fillId="6" borderId="0" xfId="0" applyFont="1" applyFill="1" applyBorder="1" applyAlignment="1">
      <alignment horizontal="center" vertical="center"/>
    </xf>
    <xf numFmtId="0" fontId="22" fillId="6" borderId="0" xfId="0" applyFont="1" applyFill="1" applyBorder="1">
      <alignment vertical="center"/>
    </xf>
    <xf numFmtId="0" fontId="23" fillId="6" borderId="0" xfId="0" applyFont="1" applyFill="1" applyBorder="1">
      <alignment vertical="center"/>
    </xf>
    <xf numFmtId="0" fontId="15" fillId="6" borderId="0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182" fontId="14" fillId="0" borderId="22" xfId="0" applyNumberFormat="1" applyFont="1" applyFill="1" applyBorder="1" applyAlignment="1" applyProtection="1">
      <alignment horizontal="center" vertical="center"/>
      <protection locked="0"/>
    </xf>
    <xf numFmtId="182" fontId="14" fillId="0" borderId="28" xfId="0" applyNumberFormat="1" applyFont="1" applyFill="1" applyBorder="1" applyAlignment="1" applyProtection="1">
      <alignment horizontal="center" vertical="center"/>
      <protection locked="0"/>
    </xf>
    <xf numFmtId="182" fontId="14" fillId="0" borderId="29" xfId="0" applyNumberFormat="1" applyFont="1" applyFill="1" applyBorder="1" applyAlignment="1" applyProtection="1">
      <alignment horizontal="center" vertical="center"/>
      <protection locked="0"/>
    </xf>
    <xf numFmtId="182" fontId="14" fillId="0" borderId="34" xfId="0" applyNumberFormat="1" applyFont="1" applyFill="1" applyBorder="1" applyAlignment="1" applyProtection="1">
      <alignment horizontal="center" vertical="center"/>
      <protection locked="0"/>
    </xf>
    <xf numFmtId="183" fontId="14" fillId="0" borderId="22" xfId="0" applyNumberFormat="1" applyFont="1" applyFill="1" applyBorder="1" applyAlignment="1" applyProtection="1">
      <alignment horizontal="center" vertical="center"/>
      <protection locked="0"/>
    </xf>
    <xf numFmtId="183" fontId="14" fillId="0" borderId="28" xfId="0" applyNumberFormat="1" applyFont="1" applyFill="1" applyBorder="1" applyAlignment="1" applyProtection="1">
      <alignment horizontal="center" vertical="center"/>
      <protection locked="0"/>
    </xf>
    <xf numFmtId="183" fontId="14" fillId="0" borderId="29" xfId="0" applyNumberFormat="1" applyFont="1" applyFill="1" applyBorder="1" applyAlignment="1" applyProtection="1">
      <alignment horizontal="center" vertical="center"/>
      <protection locked="0"/>
    </xf>
    <xf numFmtId="183" fontId="14" fillId="0" borderId="34" xfId="0" applyNumberFormat="1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38" fontId="14" fillId="6" borderId="2" xfId="1" applyFont="1" applyFill="1" applyBorder="1" applyAlignment="1">
      <alignment horizontal="right" vertical="center"/>
    </xf>
    <xf numFmtId="0" fontId="22" fillId="6" borderId="2" xfId="0" applyFont="1" applyFill="1" applyBorder="1" applyAlignment="1">
      <alignment horizontal="center" vertical="center" wrapText="1"/>
    </xf>
    <xf numFmtId="0" fontId="19" fillId="7" borderId="61" xfId="0" applyFont="1" applyFill="1" applyBorder="1" applyAlignment="1">
      <alignment horizontal="center" vertical="center"/>
    </xf>
    <xf numFmtId="0" fontId="19" fillId="7" borderId="62" xfId="0" applyFont="1" applyFill="1" applyBorder="1" applyAlignment="1">
      <alignment horizontal="center" vertical="center"/>
    </xf>
    <xf numFmtId="0" fontId="19" fillId="7" borderId="63" xfId="0" applyFont="1" applyFill="1" applyBorder="1" applyAlignment="1">
      <alignment horizontal="center" vertical="center"/>
    </xf>
    <xf numFmtId="0" fontId="19" fillId="7" borderId="64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/>
    </xf>
    <xf numFmtId="0" fontId="19" fillId="7" borderId="66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47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38" fontId="16" fillId="0" borderId="67" xfId="1" applyFont="1" applyFill="1" applyBorder="1" applyAlignment="1">
      <alignment horizontal="right" vertical="center"/>
    </xf>
    <xf numFmtId="38" fontId="16" fillId="0" borderId="60" xfId="1" applyFont="1" applyFill="1" applyBorder="1" applyAlignment="1">
      <alignment horizontal="right" vertical="center"/>
    </xf>
    <xf numFmtId="38" fontId="16" fillId="0" borderId="68" xfId="1" applyFont="1" applyFill="1" applyBorder="1" applyAlignment="1">
      <alignment horizontal="right" vertical="center"/>
    </xf>
    <xf numFmtId="38" fontId="16" fillId="0" borderId="69" xfId="1" applyFont="1" applyFill="1" applyBorder="1" applyAlignment="1">
      <alignment horizontal="right" vertical="center"/>
    </xf>
    <xf numFmtId="38" fontId="16" fillId="0" borderId="70" xfId="1" applyFont="1" applyFill="1" applyBorder="1" applyAlignment="1">
      <alignment horizontal="right" vertical="center"/>
    </xf>
    <xf numFmtId="38" fontId="16" fillId="0" borderId="66" xfId="1" applyFont="1" applyFill="1" applyBorder="1" applyAlignment="1">
      <alignment horizontal="right" vertical="center"/>
    </xf>
    <xf numFmtId="38" fontId="16" fillId="0" borderId="71" xfId="1" applyFont="1" applyFill="1" applyBorder="1" applyAlignment="1">
      <alignment horizontal="right" vertical="center"/>
    </xf>
    <xf numFmtId="38" fontId="16" fillId="0" borderId="72" xfId="1" applyFont="1" applyFill="1" applyBorder="1" applyAlignment="1">
      <alignment horizontal="right" vertical="center"/>
    </xf>
    <xf numFmtId="0" fontId="22" fillId="6" borderId="60" xfId="0" applyFont="1" applyFill="1" applyBorder="1" applyAlignment="1">
      <alignment horizontal="center" vertical="center" wrapText="1"/>
    </xf>
    <xf numFmtId="184" fontId="14" fillId="6" borderId="60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2" fontId="5" fillId="2" borderId="4" xfId="0" applyNumberFormat="1" applyFont="1" applyFill="1" applyBorder="1" applyAlignment="1">
      <alignment horizontal="center" vertical="center"/>
    </xf>
    <xf numFmtId="42" fontId="5" fillId="2" borderId="5" xfId="0" applyNumberFormat="1" applyFont="1" applyFill="1" applyBorder="1" applyAlignment="1">
      <alignment horizontal="center" vertical="center"/>
    </xf>
    <xf numFmtId="42" fontId="5" fillId="2" borderId="7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2" fontId="5" fillId="2" borderId="8" xfId="0" applyNumberFormat="1" applyFont="1" applyFill="1" applyBorder="1" applyAlignment="1">
      <alignment horizontal="center" vertical="center"/>
    </xf>
    <xf numFmtId="42" fontId="5" fillId="2" borderId="12" xfId="0" applyNumberFormat="1" applyFont="1" applyFill="1" applyBorder="1" applyAlignment="1">
      <alignment horizontal="center" vertical="center"/>
    </xf>
    <xf numFmtId="42" fontId="5" fillId="2" borderId="13" xfId="0" applyNumberFormat="1" applyFont="1" applyFill="1" applyBorder="1" applyAlignment="1">
      <alignment horizontal="center" vertical="center"/>
    </xf>
    <xf numFmtId="6" fontId="5" fillId="0" borderId="23" xfId="2" applyNumberFormat="1" applyFont="1" applyBorder="1" applyAlignment="1">
      <alignment vertical="center"/>
    </xf>
    <xf numFmtId="6" fontId="5" fillId="0" borderId="24" xfId="2" applyNumberFormat="1" applyFont="1" applyBorder="1" applyAlignment="1">
      <alignment vertical="center"/>
    </xf>
    <xf numFmtId="6" fontId="5" fillId="0" borderId="25" xfId="2" applyNumberFormat="1" applyFont="1" applyBorder="1" applyAlignment="1">
      <alignment vertical="center" shrinkToFit="1"/>
    </xf>
    <xf numFmtId="6" fontId="5" fillId="0" borderId="24" xfId="2" applyNumberFormat="1" applyFont="1" applyBorder="1" applyAlignment="1">
      <alignment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7" fontId="5" fillId="0" borderId="23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vertical="center"/>
    </xf>
    <xf numFmtId="179" fontId="5" fillId="0" borderId="22" xfId="0" applyNumberFormat="1" applyFont="1" applyFill="1" applyBorder="1" applyAlignment="1" applyProtection="1">
      <alignment vertical="center" shrinkToFit="1"/>
      <protection locked="0"/>
    </xf>
    <xf numFmtId="179" fontId="5" fillId="0" borderId="26" xfId="0" applyNumberFormat="1" applyFont="1" applyFill="1" applyBorder="1" applyAlignment="1" applyProtection="1">
      <alignment vertical="center" shrinkToFit="1"/>
      <protection locked="0"/>
    </xf>
    <xf numFmtId="5" fontId="5" fillId="0" borderId="26" xfId="0" applyNumberFormat="1" applyFont="1" applyBorder="1" applyAlignment="1">
      <alignment vertical="center" shrinkToFit="1"/>
    </xf>
    <xf numFmtId="5" fontId="5" fillId="0" borderId="28" xfId="0" applyNumberFormat="1" applyFont="1" applyBorder="1" applyAlignment="1">
      <alignment vertical="center" shrinkToFit="1"/>
    </xf>
    <xf numFmtId="6" fontId="5" fillId="0" borderId="15" xfId="2" applyNumberFormat="1" applyFont="1" applyBorder="1" applyAlignment="1">
      <alignment vertical="center"/>
    </xf>
    <xf numFmtId="6" fontId="5" fillId="0" borderId="16" xfId="2" applyNumberFormat="1" applyFont="1" applyBorder="1" applyAlignment="1">
      <alignment vertical="center"/>
    </xf>
    <xf numFmtId="6" fontId="5" fillId="0" borderId="17" xfId="2" applyNumberFormat="1" applyFont="1" applyBorder="1" applyAlignment="1">
      <alignment vertical="center" shrinkToFit="1"/>
    </xf>
    <xf numFmtId="6" fontId="5" fillId="0" borderId="16" xfId="2" applyNumberFormat="1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9" fontId="5" fillId="0" borderId="14" xfId="0" applyNumberFormat="1" applyFont="1" applyFill="1" applyBorder="1" applyAlignment="1" applyProtection="1">
      <alignment vertical="center" shrinkToFit="1"/>
      <protection locked="0"/>
    </xf>
    <xf numFmtId="179" fontId="5" fillId="0" borderId="18" xfId="0" applyNumberFormat="1" applyFont="1" applyFill="1" applyBorder="1" applyAlignment="1" applyProtection="1">
      <alignment vertical="center" shrinkToFit="1"/>
      <protection locked="0"/>
    </xf>
    <xf numFmtId="5" fontId="5" fillId="0" borderId="18" xfId="0" applyNumberFormat="1" applyFont="1" applyBorder="1" applyAlignment="1">
      <alignment vertical="center" shrinkToFit="1"/>
    </xf>
    <xf numFmtId="5" fontId="5" fillId="0" borderId="21" xfId="0" applyNumberFormat="1" applyFont="1" applyBorder="1" applyAlignment="1">
      <alignment vertical="center" shrinkToFit="1"/>
    </xf>
    <xf numFmtId="177" fontId="5" fillId="0" borderId="22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9" fontId="5" fillId="0" borderId="25" xfId="0" applyNumberFormat="1" applyFont="1" applyFill="1" applyBorder="1" applyAlignment="1" applyProtection="1">
      <alignment vertical="center" shrinkToFit="1"/>
      <protection locked="0"/>
    </xf>
    <xf numFmtId="179" fontId="5" fillId="0" borderId="27" xfId="0" applyNumberFormat="1" applyFont="1" applyFill="1" applyBorder="1" applyAlignment="1" applyProtection="1">
      <alignment vertical="center" shrinkToFit="1"/>
      <protection locked="0"/>
    </xf>
    <xf numFmtId="180" fontId="7" fillId="3" borderId="35" xfId="0" applyNumberFormat="1" applyFont="1" applyFill="1" applyBorder="1" applyAlignment="1">
      <alignment vertical="center" shrinkToFit="1"/>
    </xf>
    <xf numFmtId="180" fontId="7" fillId="3" borderId="36" xfId="0" applyNumberFormat="1" applyFont="1" applyFill="1" applyBorder="1" applyAlignment="1">
      <alignment vertical="center" shrinkToFit="1"/>
    </xf>
    <xf numFmtId="6" fontId="7" fillId="3" borderId="37" xfId="0" applyNumberFormat="1" applyFont="1" applyFill="1" applyBorder="1" applyAlignment="1">
      <alignment vertical="center" shrinkToFit="1"/>
    </xf>
    <xf numFmtId="6" fontId="7" fillId="3" borderId="38" xfId="0" applyNumberFormat="1" applyFont="1" applyFill="1" applyBorder="1" applyAlignment="1">
      <alignment vertical="center" shrinkToFit="1"/>
    </xf>
    <xf numFmtId="177" fontId="5" fillId="0" borderId="29" xfId="0" applyNumberFormat="1" applyFont="1" applyBorder="1" applyAlignment="1">
      <alignment vertical="center"/>
    </xf>
    <xf numFmtId="177" fontId="5" fillId="0" borderId="30" xfId="0" applyNumberFormat="1" applyFont="1" applyBorder="1" applyAlignment="1">
      <alignment vertical="center"/>
    </xf>
    <xf numFmtId="177" fontId="5" fillId="0" borderId="31" xfId="0" applyNumberFormat="1" applyFont="1" applyBorder="1" applyAlignment="1">
      <alignment horizontal="center" vertical="center"/>
    </xf>
    <xf numFmtId="177" fontId="5" fillId="0" borderId="32" xfId="0" applyNumberFormat="1" applyFont="1" applyBorder="1" applyAlignment="1">
      <alignment horizontal="center" vertical="center"/>
    </xf>
    <xf numFmtId="179" fontId="5" fillId="0" borderId="33" xfId="0" applyNumberFormat="1" applyFont="1" applyFill="1" applyBorder="1" applyAlignment="1" applyProtection="1">
      <alignment vertical="center" shrinkToFit="1"/>
      <protection locked="0"/>
    </xf>
    <xf numFmtId="179" fontId="5" fillId="0" borderId="32" xfId="0" applyNumberFormat="1" applyFont="1" applyFill="1" applyBorder="1" applyAlignment="1" applyProtection="1">
      <alignment vertical="center" shrinkToFit="1"/>
      <protection locked="0"/>
    </xf>
    <xf numFmtId="5" fontId="5" fillId="0" borderId="30" xfId="0" applyNumberFormat="1" applyFont="1" applyBorder="1" applyAlignment="1">
      <alignment vertical="center" shrinkToFit="1"/>
    </xf>
    <xf numFmtId="5" fontId="5" fillId="0" borderId="34" xfId="0" applyNumberFormat="1" applyFont="1" applyBorder="1" applyAlignment="1">
      <alignment vertical="center" shrinkToFit="1"/>
    </xf>
    <xf numFmtId="0" fontId="5" fillId="4" borderId="11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2" fontId="5" fillId="4" borderId="12" xfId="0" applyNumberFormat="1" applyFont="1" applyFill="1" applyBorder="1" applyAlignment="1">
      <alignment horizontal="center" vertical="center"/>
    </xf>
    <xf numFmtId="42" fontId="5" fillId="4" borderId="13" xfId="0" applyNumberFormat="1" applyFont="1" applyFill="1" applyBorder="1" applyAlignment="1">
      <alignment horizontal="center" vertical="center"/>
    </xf>
    <xf numFmtId="42" fontId="5" fillId="4" borderId="41" xfId="0" applyNumberFormat="1" applyFont="1" applyFill="1" applyBorder="1" applyAlignment="1">
      <alignment horizontal="center" vertical="center"/>
    </xf>
    <xf numFmtId="42" fontId="5" fillId="4" borderId="40" xfId="0" applyNumberFormat="1" applyFont="1" applyFill="1" applyBorder="1" applyAlignment="1">
      <alignment horizontal="center" vertical="center"/>
    </xf>
    <xf numFmtId="42" fontId="5" fillId="4" borderId="9" xfId="0" applyNumberFormat="1" applyFont="1" applyFill="1" applyBorder="1" applyAlignment="1">
      <alignment horizontal="center" vertical="center"/>
    </xf>
    <xf numFmtId="42" fontId="5" fillId="4" borderId="10" xfId="0" applyNumberFormat="1" applyFont="1" applyFill="1" applyBorder="1" applyAlignment="1">
      <alignment horizontal="center" vertical="center"/>
    </xf>
    <xf numFmtId="6" fontId="5" fillId="0" borderId="31" xfId="2" applyNumberFormat="1" applyFont="1" applyBorder="1" applyAlignment="1">
      <alignment vertical="center"/>
    </xf>
    <xf numFmtId="6" fontId="5" fillId="0" borderId="39" xfId="2" applyNumberFormat="1" applyFont="1" applyBorder="1" applyAlignment="1">
      <alignment vertical="center"/>
    </xf>
    <xf numFmtId="6" fontId="5" fillId="0" borderId="33" xfId="2" applyNumberFormat="1" applyFont="1" applyBorder="1" applyAlignment="1">
      <alignment vertical="center" shrinkToFit="1"/>
    </xf>
    <xf numFmtId="6" fontId="5" fillId="0" borderId="39" xfId="2" applyNumberFormat="1" applyFont="1" applyBorder="1" applyAlignment="1">
      <alignment vertical="center" shrinkToFit="1"/>
    </xf>
    <xf numFmtId="6" fontId="7" fillId="3" borderId="35" xfId="0" applyNumberFormat="1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5" fillId="0" borderId="18" xfId="0" applyNumberFormat="1" applyFont="1" applyBorder="1" applyAlignment="1">
      <alignment vertical="center"/>
    </xf>
    <xf numFmtId="178" fontId="5" fillId="0" borderId="18" xfId="0" applyNumberFormat="1" applyFont="1" applyBorder="1" applyAlignment="1">
      <alignment vertical="center"/>
    </xf>
    <xf numFmtId="178" fontId="5" fillId="0" borderId="21" xfId="0" applyNumberFormat="1" applyFont="1" applyBorder="1" applyAlignment="1">
      <alignment vertical="center"/>
    </xf>
    <xf numFmtId="179" fontId="5" fillId="0" borderId="42" xfId="0" applyNumberFormat="1" applyFont="1" applyFill="1" applyBorder="1" applyAlignment="1" applyProtection="1">
      <alignment vertical="center"/>
      <protection locked="0"/>
    </xf>
    <xf numFmtId="179" fontId="5" fillId="0" borderId="43" xfId="0" applyNumberFormat="1" applyFont="1" applyFill="1" applyBorder="1" applyAlignment="1" applyProtection="1">
      <alignment vertical="center"/>
      <protection locked="0"/>
    </xf>
    <xf numFmtId="5" fontId="5" fillId="0" borderId="20" xfId="0" applyNumberFormat="1" applyFont="1" applyBorder="1" applyAlignment="1">
      <alignment vertical="center"/>
    </xf>
    <xf numFmtId="5" fontId="5" fillId="0" borderId="44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8" fontId="5" fillId="0" borderId="26" xfId="0" applyNumberFormat="1" applyFont="1" applyBorder="1" applyAlignment="1">
      <alignment vertical="center"/>
    </xf>
    <xf numFmtId="178" fontId="5" fillId="0" borderId="28" xfId="0" applyNumberFormat="1" applyFont="1" applyBorder="1" applyAlignment="1">
      <alignment vertical="center"/>
    </xf>
    <xf numFmtId="179" fontId="5" fillId="0" borderId="45" xfId="0" applyNumberFormat="1" applyFont="1" applyFill="1" applyBorder="1" applyAlignment="1" applyProtection="1">
      <alignment vertical="center"/>
      <protection locked="0"/>
    </xf>
    <xf numFmtId="179" fontId="5" fillId="0" borderId="27" xfId="0" applyNumberFormat="1" applyFont="1" applyFill="1" applyBorder="1" applyAlignment="1" applyProtection="1">
      <alignment vertical="center"/>
      <protection locked="0"/>
    </xf>
    <xf numFmtId="5" fontId="5" fillId="0" borderId="23" xfId="0" applyNumberFormat="1" applyFont="1" applyBorder="1" applyAlignment="1">
      <alignment vertical="center"/>
    </xf>
    <xf numFmtId="5" fontId="5" fillId="0" borderId="24" xfId="0" applyNumberFormat="1" applyFont="1" applyBorder="1" applyAlignment="1">
      <alignment vertical="center"/>
    </xf>
    <xf numFmtId="180" fontId="7" fillId="5" borderId="35" xfId="0" applyNumberFormat="1" applyFont="1" applyFill="1" applyBorder="1" applyAlignment="1">
      <alignment horizontal="center" vertical="center" shrinkToFit="1"/>
    </xf>
    <xf numFmtId="180" fontId="7" fillId="5" borderId="36" xfId="0" applyNumberFormat="1" applyFont="1" applyFill="1" applyBorder="1" applyAlignment="1">
      <alignment horizontal="center" vertical="center" shrinkToFit="1"/>
    </xf>
    <xf numFmtId="6" fontId="7" fillId="5" borderId="37" xfId="0" applyNumberFormat="1" applyFont="1" applyFill="1" applyBorder="1" applyAlignment="1">
      <alignment vertical="center" shrinkToFit="1"/>
    </xf>
    <xf numFmtId="6" fontId="7" fillId="5" borderId="38" xfId="0" applyNumberFormat="1" applyFont="1" applyFill="1" applyBorder="1" applyAlignment="1">
      <alignment vertical="center" shrinkToFit="1"/>
    </xf>
    <xf numFmtId="177" fontId="5" fillId="0" borderId="33" xfId="0" applyNumberFormat="1" applyFont="1" applyBorder="1" applyAlignment="1">
      <alignment vertical="center"/>
    </xf>
    <xf numFmtId="177" fontId="5" fillId="0" borderId="32" xfId="0" applyNumberFormat="1" applyFont="1" applyBorder="1" applyAlignment="1">
      <alignment vertical="center"/>
    </xf>
    <xf numFmtId="178" fontId="5" fillId="0" borderId="30" xfId="0" applyNumberFormat="1" applyFont="1" applyBorder="1" applyAlignment="1">
      <alignment vertical="center"/>
    </xf>
    <xf numFmtId="178" fontId="5" fillId="0" borderId="34" xfId="0" applyNumberFormat="1" applyFont="1" applyBorder="1" applyAlignment="1">
      <alignment vertical="center"/>
    </xf>
    <xf numFmtId="179" fontId="5" fillId="0" borderId="46" xfId="0" applyNumberFormat="1" applyFont="1" applyFill="1" applyBorder="1" applyAlignment="1" applyProtection="1">
      <alignment vertical="center"/>
      <protection locked="0"/>
    </xf>
    <xf numFmtId="179" fontId="5" fillId="0" borderId="32" xfId="0" applyNumberFormat="1" applyFont="1" applyFill="1" applyBorder="1" applyAlignment="1" applyProtection="1">
      <alignment vertical="center"/>
      <protection locked="0"/>
    </xf>
    <xf numFmtId="5" fontId="5" fillId="0" borderId="31" xfId="0" applyNumberFormat="1" applyFont="1" applyBorder="1" applyAlignment="1">
      <alignment vertical="center"/>
    </xf>
    <xf numFmtId="5" fontId="5" fillId="0" borderId="39" xfId="0" applyNumberFormat="1" applyFont="1" applyBorder="1" applyAlignment="1">
      <alignment vertical="center"/>
    </xf>
    <xf numFmtId="180" fontId="7" fillId="5" borderId="1" xfId="0" applyNumberFormat="1" applyFont="1" applyFill="1" applyBorder="1" applyAlignment="1">
      <alignment horizontal="center" vertical="center" shrinkToFit="1"/>
    </xf>
    <xf numFmtId="180" fontId="7" fillId="5" borderId="3" xfId="0" applyNumberFormat="1" applyFont="1" applyFill="1" applyBorder="1" applyAlignment="1">
      <alignment horizontal="center" vertical="center" shrinkToFit="1"/>
    </xf>
    <xf numFmtId="180" fontId="7" fillId="5" borderId="1" xfId="0" applyNumberFormat="1" applyFont="1" applyFill="1" applyBorder="1" applyAlignment="1">
      <alignment vertical="center" shrinkToFit="1"/>
    </xf>
    <xf numFmtId="180" fontId="7" fillId="5" borderId="47" xfId="0" applyNumberFormat="1" applyFont="1" applyFill="1" applyBorder="1" applyAlignment="1">
      <alignment vertical="center" shrinkToFit="1"/>
    </xf>
    <xf numFmtId="6" fontId="7" fillId="5" borderId="6" xfId="0" applyNumberFormat="1" applyFont="1" applyFill="1" applyBorder="1" applyAlignment="1">
      <alignment vertical="center" shrinkToFit="1"/>
    </xf>
    <xf numFmtId="6" fontId="7" fillId="5" borderId="3" xfId="0" applyNumberFormat="1" applyFont="1" applyFill="1" applyBorder="1" applyAlignment="1">
      <alignment vertical="center" shrinkToFit="1"/>
    </xf>
    <xf numFmtId="180" fontId="7" fillId="5" borderId="33" xfId="0" applyNumberFormat="1" applyFont="1" applyFill="1" applyBorder="1" applyAlignment="1">
      <alignment horizontal="center" vertical="center" shrinkToFit="1"/>
    </xf>
    <xf numFmtId="180" fontId="7" fillId="5" borderId="39" xfId="0" applyNumberFormat="1" applyFont="1" applyFill="1" applyBorder="1" applyAlignment="1">
      <alignment horizontal="center" vertical="center" shrinkToFit="1"/>
    </xf>
    <xf numFmtId="181" fontId="7" fillId="5" borderId="33" xfId="0" applyNumberFormat="1" applyFont="1" applyFill="1" applyBorder="1" applyAlignment="1">
      <alignment horizontal="right" vertical="center" shrinkToFit="1"/>
    </xf>
    <xf numFmtId="181" fontId="7" fillId="5" borderId="32" xfId="0" applyNumberFormat="1" applyFont="1" applyFill="1" applyBorder="1" applyAlignment="1">
      <alignment horizontal="right" vertical="center" shrinkToFit="1"/>
    </xf>
    <xf numFmtId="6" fontId="7" fillId="5" borderId="31" xfId="0" applyNumberFormat="1" applyFont="1" applyFill="1" applyBorder="1" applyAlignment="1">
      <alignment horizontal="right" vertical="center" shrinkToFit="1"/>
    </xf>
    <xf numFmtId="6" fontId="7" fillId="5" borderId="39" xfId="0" applyNumberFormat="1" applyFont="1" applyFill="1" applyBorder="1" applyAlignment="1">
      <alignment horizontal="right" vertical="center" shrinkToFit="1"/>
    </xf>
    <xf numFmtId="42" fontId="5" fillId="4" borderId="2" xfId="0" applyNumberFormat="1" applyFont="1" applyFill="1" applyBorder="1" applyAlignment="1">
      <alignment horizontal="center" vertical="center"/>
    </xf>
    <xf numFmtId="42" fontId="5" fillId="4" borderId="42" xfId="0" applyNumberFormat="1" applyFont="1" applyFill="1" applyBorder="1" applyAlignment="1">
      <alignment horizontal="center" vertical="center"/>
    </xf>
    <xf numFmtId="42" fontId="5" fillId="4" borderId="44" xfId="0" applyNumberFormat="1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6" fontId="12" fillId="0" borderId="42" xfId="3" applyFont="1" applyBorder="1" applyAlignment="1">
      <alignment horizontal="right" vertical="center"/>
    </xf>
  </cellXfs>
  <cellStyles count="4">
    <cellStyle name="桁区切り" xfId="1" builtinId="6"/>
    <cellStyle name="桁区切り 3" xfId="2"/>
    <cellStyle name="通貨" xfId="3" builtinId="7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9</xdr:row>
      <xdr:rowOff>9525</xdr:rowOff>
    </xdr:from>
    <xdr:to>
      <xdr:col>5</xdr:col>
      <xdr:colOff>409575</xdr:colOff>
      <xdr:row>13</xdr:row>
      <xdr:rowOff>142875</xdr:rowOff>
    </xdr:to>
    <xdr:sp macro="" textlink="">
      <xdr:nvSpPr>
        <xdr:cNvPr id="2" name="右矢印 1"/>
        <xdr:cNvSpPr/>
      </xdr:nvSpPr>
      <xdr:spPr>
        <a:xfrm>
          <a:off x="2152650" y="2124075"/>
          <a:ext cx="628650" cy="11239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409575</xdr:colOff>
      <xdr:row>16</xdr:row>
      <xdr:rowOff>134038</xdr:rowOff>
    </xdr:from>
    <xdr:ext cx="2857500" cy="64320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3982138"/>
          <a:ext cx="2857500" cy="643201"/>
        </a:xfrm>
        <a:prstGeom prst="rect">
          <a:avLst/>
        </a:prstGeom>
      </xdr:spPr>
    </xdr:pic>
    <xdr:clientData/>
  </xdr:oneCellAnchor>
  <xdr:twoCellAnchor>
    <xdr:from>
      <xdr:col>3</xdr:col>
      <xdr:colOff>304799</xdr:colOff>
      <xdr:row>1</xdr:row>
      <xdr:rowOff>95250</xdr:rowOff>
    </xdr:from>
    <xdr:to>
      <xdr:col>18</xdr:col>
      <xdr:colOff>495299</xdr:colOff>
      <xdr:row>3</xdr:row>
      <xdr:rowOff>228600</xdr:rowOff>
    </xdr:to>
    <xdr:sp macro="" textlink="">
      <xdr:nvSpPr>
        <xdr:cNvPr id="6" name="額縁 5"/>
        <xdr:cNvSpPr/>
      </xdr:nvSpPr>
      <xdr:spPr>
        <a:xfrm>
          <a:off x="1590674" y="342900"/>
          <a:ext cx="8334375" cy="628650"/>
        </a:xfrm>
        <a:prstGeom prst="bevel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新潟市　水道料金・下水道使用料簡易計算ツール（令和</a:t>
          </a:r>
          <a:r>
            <a:rPr kumimoji="1" lang="en-US" altLang="ja-JP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7.1.1</a:t>
          </a:r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改定版）</a:t>
          </a:r>
        </a:p>
      </xdr:txBody>
    </xdr:sp>
    <xdr:clientData/>
  </xdr:twoCellAnchor>
  <xdr:twoCellAnchor>
    <xdr:from>
      <xdr:col>1</xdr:col>
      <xdr:colOff>400050</xdr:colOff>
      <xdr:row>5</xdr:row>
      <xdr:rowOff>123825</xdr:rowOff>
    </xdr:from>
    <xdr:to>
      <xdr:col>4</xdr:col>
      <xdr:colOff>161925</xdr:colOff>
      <xdr:row>16</xdr:row>
      <xdr:rowOff>200025</xdr:rowOff>
    </xdr:to>
    <xdr:sp macro="" textlink="">
      <xdr:nvSpPr>
        <xdr:cNvPr id="5" name="角丸四角形 4"/>
        <xdr:cNvSpPr/>
      </xdr:nvSpPr>
      <xdr:spPr>
        <a:xfrm>
          <a:off x="600075" y="1247775"/>
          <a:ext cx="1390650" cy="2800350"/>
        </a:xfrm>
        <a:prstGeom prst="roundRect">
          <a:avLst/>
        </a:prstGeom>
        <a:noFill/>
        <a:ln w="1905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4</xdr:row>
      <xdr:rowOff>9525</xdr:rowOff>
    </xdr:from>
    <xdr:to>
      <xdr:col>4</xdr:col>
      <xdr:colOff>438150</xdr:colOff>
      <xdr:row>5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381000" y="885825"/>
          <a:ext cx="1885950" cy="342900"/>
        </a:xfrm>
        <a:prstGeom prst="rect">
          <a:avLst/>
        </a:prstGeom>
        <a:solidFill>
          <a:srgbClr val="CC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《</a:t>
          </a:r>
          <a:r>
            <a:rPr kumimoji="1" lang="ja-JP" altLang="en-US" sz="1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お客さま入力欄</a:t>
          </a:r>
          <a:r>
            <a:rPr kumimoji="1" lang="en-US" altLang="ja-JP" sz="1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》</a:t>
          </a:r>
          <a:endParaRPr kumimoji="1" lang="ja-JP" altLang="en-US" sz="14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22"/>
  <sheetViews>
    <sheetView showGridLines="0" tabSelected="1" workbookViewId="0">
      <selection activeCell="C8" sqref="C8:D9"/>
    </sheetView>
  </sheetViews>
  <sheetFormatPr defaultColWidth="7.125" defaultRowHeight="20.100000000000001" customHeight="1"/>
  <cols>
    <col min="1" max="1" width="2.625" customWidth="1"/>
    <col min="23" max="24" width="7.125" customWidth="1"/>
  </cols>
  <sheetData>
    <row r="1" spans="1:25" ht="12.75" customHeight="1" thickBo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32"/>
    </row>
    <row r="2" spans="1:25" ht="20.100000000000001" customHeight="1" thickTop="1">
      <c r="A2" s="20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5"/>
      <c r="W2" s="20"/>
      <c r="X2" s="20"/>
      <c r="Y2" s="32"/>
    </row>
    <row r="3" spans="1:25" ht="20.100000000000001" customHeight="1">
      <c r="A3" s="20"/>
      <c r="B3" s="26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21"/>
      <c r="U3" s="21"/>
      <c r="V3" s="27"/>
      <c r="W3" s="20"/>
      <c r="X3" s="20"/>
      <c r="Y3" s="32"/>
    </row>
    <row r="4" spans="1:25" ht="20.100000000000001" customHeight="1">
      <c r="A4" s="20"/>
      <c r="B4" s="26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21"/>
      <c r="U4" s="21"/>
      <c r="V4" s="27"/>
      <c r="W4" s="20"/>
      <c r="X4" s="20"/>
      <c r="Y4" s="32"/>
    </row>
    <row r="5" spans="1:25" ht="20.100000000000001" customHeight="1">
      <c r="A5" s="20"/>
      <c r="B5" s="2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21"/>
      <c r="U5" s="21"/>
      <c r="V5" s="27"/>
      <c r="W5" s="20"/>
      <c r="X5" s="20"/>
      <c r="Y5" s="32"/>
    </row>
    <row r="6" spans="1:25" ht="20.100000000000001" customHeight="1" thickBot="1">
      <c r="A6" s="20"/>
      <c r="B6" s="26"/>
      <c r="C6" s="21"/>
      <c r="D6" s="21"/>
      <c r="E6" s="21"/>
      <c r="F6" s="21"/>
      <c r="G6" s="39" t="s">
        <v>42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7"/>
      <c r="W6" s="20"/>
      <c r="X6" s="20"/>
      <c r="Y6" s="32"/>
    </row>
    <row r="7" spans="1:25" ht="20.100000000000001" customHeight="1">
      <c r="A7" s="20"/>
      <c r="B7" s="26"/>
      <c r="C7" s="41" t="s">
        <v>28</v>
      </c>
      <c r="D7" s="42"/>
      <c r="E7" s="21"/>
      <c r="F7" s="21"/>
      <c r="G7" s="39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7"/>
      <c r="W7" s="20"/>
      <c r="X7" s="20"/>
      <c r="Y7" s="32"/>
    </row>
    <row r="8" spans="1:25" ht="20.100000000000001" customHeight="1">
      <c r="A8" s="20"/>
      <c r="B8" s="26"/>
      <c r="C8" s="43">
        <v>13</v>
      </c>
      <c r="D8" s="44"/>
      <c r="E8" s="21"/>
      <c r="F8" s="21"/>
      <c r="G8" s="22" t="s">
        <v>43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7"/>
      <c r="W8" s="20"/>
      <c r="X8" s="20"/>
      <c r="Y8" s="32"/>
    </row>
    <row r="9" spans="1:25" ht="20.100000000000001" customHeight="1" thickBot="1">
      <c r="A9" s="20"/>
      <c r="B9" s="26"/>
      <c r="C9" s="45"/>
      <c r="D9" s="46"/>
      <c r="E9" s="21"/>
      <c r="F9" s="21"/>
      <c r="G9" s="36" t="s">
        <v>45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21"/>
      <c r="T9" s="21"/>
      <c r="U9" s="21"/>
      <c r="V9" s="27"/>
      <c r="W9" s="20"/>
      <c r="X9" s="20"/>
      <c r="Y9" s="32"/>
    </row>
    <row r="10" spans="1:25" ht="20.100000000000001" customHeight="1" thickBot="1">
      <c r="A10" s="20"/>
      <c r="B10" s="26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35" t="s">
        <v>44</v>
      </c>
      <c r="S10" s="21"/>
      <c r="T10" s="21"/>
      <c r="U10" s="21"/>
      <c r="V10" s="27"/>
      <c r="W10" s="20"/>
      <c r="X10" s="20"/>
      <c r="Y10" s="32"/>
    </row>
    <row r="11" spans="1:25" ht="20.100000000000001" customHeight="1">
      <c r="A11" s="20"/>
      <c r="B11" s="26"/>
      <c r="C11" s="41" t="s">
        <v>29</v>
      </c>
      <c r="D11" s="42"/>
      <c r="E11" s="21"/>
      <c r="F11" s="21"/>
      <c r="G11" s="55" t="s">
        <v>25</v>
      </c>
      <c r="H11" s="56"/>
      <c r="I11" s="61" t="s">
        <v>27</v>
      </c>
      <c r="J11" s="62"/>
      <c r="K11" s="63"/>
      <c r="L11" s="61" t="s">
        <v>41</v>
      </c>
      <c r="M11" s="62"/>
      <c r="N11" s="63"/>
      <c r="O11" s="61" t="s">
        <v>26</v>
      </c>
      <c r="P11" s="62"/>
      <c r="Q11" s="62"/>
      <c r="R11" s="64"/>
      <c r="S11" s="21"/>
      <c r="T11" s="21"/>
      <c r="U11" s="21"/>
      <c r="V11" s="27"/>
      <c r="W11" s="20"/>
      <c r="X11" s="20"/>
      <c r="Y11" s="32"/>
    </row>
    <row r="12" spans="1:25" ht="20.100000000000001" customHeight="1">
      <c r="A12" s="20"/>
      <c r="B12" s="26"/>
      <c r="C12" s="47">
        <v>0</v>
      </c>
      <c r="D12" s="48"/>
      <c r="E12" s="21"/>
      <c r="F12" s="21"/>
      <c r="G12" s="57"/>
      <c r="H12" s="58"/>
      <c r="I12" s="65">
        <f>Sheet1!$J$2</f>
        <v>2596</v>
      </c>
      <c r="J12" s="66"/>
      <c r="K12" s="67"/>
      <c r="L12" s="65">
        <f>Sheet1!$O$2</f>
        <v>2618</v>
      </c>
      <c r="M12" s="66"/>
      <c r="N12" s="67"/>
      <c r="O12" s="65">
        <f>I12+L12</f>
        <v>5214</v>
      </c>
      <c r="P12" s="66"/>
      <c r="Q12" s="66"/>
      <c r="R12" s="71"/>
      <c r="S12" s="21"/>
      <c r="T12" s="21"/>
      <c r="U12" s="21"/>
      <c r="V12" s="27"/>
      <c r="W12" s="20"/>
      <c r="X12" s="20"/>
      <c r="Y12" s="32"/>
    </row>
    <row r="13" spans="1:25" ht="20.100000000000001" customHeight="1" thickBot="1">
      <c r="A13" s="20"/>
      <c r="B13" s="26"/>
      <c r="C13" s="49"/>
      <c r="D13" s="50"/>
      <c r="E13" s="21"/>
      <c r="F13" s="38"/>
      <c r="G13" s="59"/>
      <c r="H13" s="60"/>
      <c r="I13" s="68"/>
      <c r="J13" s="69"/>
      <c r="K13" s="70"/>
      <c r="L13" s="68"/>
      <c r="M13" s="69"/>
      <c r="N13" s="70"/>
      <c r="O13" s="68"/>
      <c r="P13" s="69"/>
      <c r="Q13" s="69"/>
      <c r="R13" s="72"/>
      <c r="S13" s="21"/>
      <c r="T13" s="21"/>
      <c r="U13" s="21"/>
      <c r="V13" s="27"/>
      <c r="W13" s="20"/>
      <c r="X13" s="20"/>
      <c r="Y13" s="32"/>
    </row>
    <row r="14" spans="1:25" ht="20.100000000000001" customHeight="1" thickBot="1">
      <c r="A14" s="20"/>
      <c r="B14" s="26"/>
      <c r="C14" s="21"/>
      <c r="D14" s="21"/>
      <c r="E14" s="21"/>
      <c r="F14" s="21"/>
      <c r="G14" s="54" t="s">
        <v>39</v>
      </c>
      <c r="H14" s="54"/>
      <c r="I14" s="53">
        <f>Sheet1!$U$2</f>
        <v>1936</v>
      </c>
      <c r="J14" s="53"/>
      <c r="K14" s="53"/>
      <c r="L14" s="21"/>
      <c r="M14" s="21"/>
      <c r="N14" s="37" t="s">
        <v>38</v>
      </c>
      <c r="O14" s="21"/>
      <c r="P14" s="21"/>
      <c r="Q14" s="21"/>
      <c r="R14" s="35"/>
      <c r="S14" s="21"/>
      <c r="T14" s="21"/>
      <c r="U14" s="21"/>
      <c r="V14" s="27"/>
      <c r="W14" s="20"/>
      <c r="X14" s="20"/>
      <c r="Y14" s="32"/>
    </row>
    <row r="15" spans="1:25" ht="20.100000000000001" customHeight="1">
      <c r="A15" s="20"/>
      <c r="B15" s="26"/>
      <c r="C15" s="41" t="s">
        <v>30</v>
      </c>
      <c r="D15" s="42"/>
      <c r="E15" s="21"/>
      <c r="F15" s="21"/>
      <c r="G15" s="73" t="s">
        <v>40</v>
      </c>
      <c r="H15" s="73"/>
      <c r="I15" s="74">
        <f>Sheet1!J2-Sheet1!U2</f>
        <v>660</v>
      </c>
      <c r="J15" s="74"/>
      <c r="K15" s="74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7"/>
      <c r="W15" s="20"/>
      <c r="X15" s="20"/>
      <c r="Y15" s="32"/>
    </row>
    <row r="16" spans="1:25" ht="20.100000000000001" customHeight="1" thickBot="1">
      <c r="A16" s="20"/>
      <c r="B16" s="26"/>
      <c r="C16" s="51" t="s">
        <v>35</v>
      </c>
      <c r="D16" s="5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7"/>
      <c r="W16" s="20"/>
      <c r="X16" s="20"/>
      <c r="Y16" s="32"/>
    </row>
    <row r="17" spans="1:25" ht="20.100000000000001" customHeight="1">
      <c r="A17" s="20"/>
      <c r="B17" s="26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7"/>
      <c r="W17" s="20"/>
      <c r="X17" s="20"/>
      <c r="Y17" s="32"/>
    </row>
    <row r="18" spans="1:25" ht="19.5" customHeight="1">
      <c r="A18" s="20"/>
      <c r="B18" s="26"/>
      <c r="C18" s="3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7"/>
      <c r="W18" s="20"/>
      <c r="X18" s="20"/>
      <c r="Y18" s="32"/>
    </row>
    <row r="19" spans="1:25" ht="20.100000000000001" customHeight="1">
      <c r="A19" s="20"/>
      <c r="B19" s="26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7"/>
      <c r="W19" s="20"/>
      <c r="X19" s="20"/>
      <c r="Y19" s="32"/>
    </row>
    <row r="20" spans="1:25" ht="20.100000000000001" customHeight="1" thickBot="1">
      <c r="A20" s="20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20"/>
      <c r="X20" s="20"/>
      <c r="Y20" s="32"/>
    </row>
    <row r="21" spans="1:25" ht="20.100000000000001" customHeight="1" thickTop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32"/>
    </row>
    <row r="22" spans="1:25" ht="20.100000000000001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2"/>
    </row>
  </sheetData>
  <sheetProtection password="CAED" sheet="1" objects="1" scenarios="1"/>
  <mergeCells count="18">
    <mergeCell ref="C3:S4"/>
    <mergeCell ref="C7:D7"/>
    <mergeCell ref="C8:D9"/>
    <mergeCell ref="C11:D11"/>
    <mergeCell ref="C12:D13"/>
    <mergeCell ref="C15:D15"/>
    <mergeCell ref="C16:D16"/>
    <mergeCell ref="I14:K14"/>
    <mergeCell ref="G14:H14"/>
    <mergeCell ref="G11:H13"/>
    <mergeCell ref="I11:K11"/>
    <mergeCell ref="L11:N11"/>
    <mergeCell ref="O11:R11"/>
    <mergeCell ref="I12:K13"/>
    <mergeCell ref="L12:N13"/>
    <mergeCell ref="O12:R13"/>
    <mergeCell ref="G15:H15"/>
    <mergeCell ref="I15:K15"/>
  </mergeCells>
  <phoneticPr fontId="3"/>
  <dataValidations count="2">
    <dataValidation type="list" allowBlank="1" showInputMessage="1" showErrorMessage="1" sqref="C16:D16">
      <formula1>"あり,なし"</formula1>
    </dataValidation>
    <dataValidation type="list" allowBlank="1" showInputMessage="1" showErrorMessage="1" sqref="C8:D9">
      <formula1>"13,16,20,25,30,40,50,75,100,150,200"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Header>&amp;L&amp;F&amp;R&amp;D</oddHeader>
    <oddFooter>&amp;R新潟市水道局　営業課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2"/>
  <sheetViews>
    <sheetView workbookViewId="0"/>
  </sheetViews>
  <sheetFormatPr defaultRowHeight="20.100000000000001" customHeight="1"/>
  <sheetData>
    <row r="1" spans="2:33" ht="20.100000000000001" customHeight="1" thickBot="1"/>
    <row r="2" spans="2:33" ht="20.100000000000001" customHeight="1" thickTop="1" thickBot="1">
      <c r="B2" s="17" t="s">
        <v>20</v>
      </c>
      <c r="C2" s="31">
        <f>Niigata!C8</f>
        <v>13</v>
      </c>
      <c r="E2" s="17" t="s">
        <v>21</v>
      </c>
      <c r="F2" s="18">
        <f>Niigata!C12</f>
        <v>0</v>
      </c>
      <c r="H2" s="192" t="s">
        <v>36</v>
      </c>
      <c r="I2" s="193"/>
      <c r="J2" s="194">
        <f>ROUNDDOWN((E18+O14)*1.1,0)</f>
        <v>2596</v>
      </c>
      <c r="K2" s="194"/>
      <c r="L2" s="19"/>
      <c r="M2" s="193" t="s">
        <v>24</v>
      </c>
      <c r="N2" s="193"/>
      <c r="O2" s="194">
        <f>ROUNDDOWN(J31*1.1,0)</f>
        <v>2618</v>
      </c>
      <c r="P2" s="194"/>
      <c r="S2" s="192" t="s">
        <v>37</v>
      </c>
      <c r="T2" s="193"/>
      <c r="U2" s="194">
        <f>ROUNDDOWN((V18+AF14)*1.1,0)</f>
        <v>1936</v>
      </c>
      <c r="V2" s="194"/>
    </row>
    <row r="3" spans="2:33" ht="20.100000000000001" customHeight="1" thickTop="1"/>
    <row r="4" spans="2:33" ht="20.100000000000001" customHeight="1" thickBot="1">
      <c r="B4" s="1" t="s">
        <v>32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1" t="s">
        <v>31</v>
      </c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2:33" ht="20.100000000000001" customHeight="1">
      <c r="B5" s="75" t="s">
        <v>0</v>
      </c>
      <c r="C5" s="76"/>
      <c r="D5" s="76"/>
      <c r="E5" s="76"/>
      <c r="F5" s="77"/>
      <c r="G5" s="2"/>
      <c r="H5" s="78" t="s">
        <v>1</v>
      </c>
      <c r="I5" s="79"/>
      <c r="J5" s="79"/>
      <c r="K5" s="79"/>
      <c r="L5" s="80"/>
      <c r="M5" s="81" t="s">
        <v>2</v>
      </c>
      <c r="N5" s="82"/>
      <c r="O5" s="82"/>
      <c r="P5" s="83"/>
      <c r="Q5" s="2"/>
      <c r="S5" s="75" t="s">
        <v>0</v>
      </c>
      <c r="T5" s="76"/>
      <c r="U5" s="76"/>
      <c r="V5" s="76"/>
      <c r="W5" s="77"/>
      <c r="X5" s="2"/>
      <c r="Y5" s="78" t="s">
        <v>1</v>
      </c>
      <c r="Z5" s="79"/>
      <c r="AA5" s="79"/>
      <c r="AB5" s="79"/>
      <c r="AC5" s="80"/>
      <c r="AD5" s="81" t="s">
        <v>2</v>
      </c>
      <c r="AE5" s="82"/>
      <c r="AF5" s="82"/>
      <c r="AG5" s="83"/>
    </row>
    <row r="6" spans="2:33" ht="20.100000000000001" customHeight="1" thickBot="1">
      <c r="B6" s="3" t="s">
        <v>3</v>
      </c>
      <c r="C6" s="84" t="s">
        <v>4</v>
      </c>
      <c r="D6" s="85"/>
      <c r="E6" s="86" t="s">
        <v>5</v>
      </c>
      <c r="F6" s="85"/>
      <c r="G6" s="2"/>
      <c r="H6" s="87" t="s">
        <v>6</v>
      </c>
      <c r="I6" s="88"/>
      <c r="J6" s="88" t="s">
        <v>7</v>
      </c>
      <c r="K6" s="88"/>
      <c r="L6" s="4" t="s">
        <v>8</v>
      </c>
      <c r="M6" s="89" t="s">
        <v>9</v>
      </c>
      <c r="N6" s="90"/>
      <c r="O6" s="90" t="s">
        <v>10</v>
      </c>
      <c r="P6" s="91"/>
      <c r="Q6" s="2"/>
      <c r="S6" s="34" t="s">
        <v>3</v>
      </c>
      <c r="T6" s="84" t="s">
        <v>4</v>
      </c>
      <c r="U6" s="85"/>
      <c r="V6" s="86" t="s">
        <v>5</v>
      </c>
      <c r="W6" s="85"/>
      <c r="X6" s="2"/>
      <c r="Y6" s="87" t="s">
        <v>6</v>
      </c>
      <c r="Z6" s="88"/>
      <c r="AA6" s="88" t="s">
        <v>7</v>
      </c>
      <c r="AB6" s="88"/>
      <c r="AC6" s="4" t="s">
        <v>8</v>
      </c>
      <c r="AD6" s="89" t="s">
        <v>9</v>
      </c>
      <c r="AE6" s="90"/>
      <c r="AF6" s="90" t="s">
        <v>10</v>
      </c>
      <c r="AG6" s="91"/>
    </row>
    <row r="7" spans="2:33" ht="20.100000000000001" customHeight="1" thickTop="1">
      <c r="B7" s="5">
        <v>13</v>
      </c>
      <c r="C7" s="104">
        <v>1180</v>
      </c>
      <c r="D7" s="105"/>
      <c r="E7" s="106">
        <f>IF($C$2=13,C7*2,0)</f>
        <v>2360</v>
      </c>
      <c r="F7" s="107"/>
      <c r="G7" s="2"/>
      <c r="H7" s="108" t="s">
        <v>11</v>
      </c>
      <c r="I7" s="109"/>
      <c r="J7" s="110">
        <f>10*2</f>
        <v>20</v>
      </c>
      <c r="K7" s="111"/>
      <c r="L7" s="6">
        <v>46</v>
      </c>
      <c r="M7" s="112">
        <f>IF($C$2&lt;25,IF($F$2&gt;J7,J7,$F$2),0)</f>
        <v>0</v>
      </c>
      <c r="N7" s="113"/>
      <c r="O7" s="114">
        <f>L7*M7</f>
        <v>0</v>
      </c>
      <c r="P7" s="115"/>
      <c r="Q7" s="2"/>
      <c r="S7" s="5">
        <v>13</v>
      </c>
      <c r="T7" s="104">
        <v>880</v>
      </c>
      <c r="U7" s="105"/>
      <c r="V7" s="106">
        <f>IF($C$2=13,T7*2,0)</f>
        <v>1760</v>
      </c>
      <c r="W7" s="107"/>
      <c r="X7" s="2"/>
      <c r="Y7" s="108" t="s">
        <v>33</v>
      </c>
      <c r="Z7" s="109"/>
      <c r="AA7" s="110">
        <f>10*2</f>
        <v>20</v>
      </c>
      <c r="AB7" s="111"/>
      <c r="AC7" s="6">
        <v>37</v>
      </c>
      <c r="AD7" s="112">
        <f>IF($C$2&lt;20,IF($F$2&gt;AA7,AA7,$F$2),0)</f>
        <v>0</v>
      </c>
      <c r="AE7" s="113"/>
      <c r="AF7" s="114">
        <f>AC7*AD7</f>
        <v>0</v>
      </c>
      <c r="AG7" s="115"/>
    </row>
    <row r="8" spans="2:33" ht="20.100000000000001" customHeight="1">
      <c r="B8" s="7">
        <v>16</v>
      </c>
      <c r="C8" s="92">
        <v>1790</v>
      </c>
      <c r="D8" s="93"/>
      <c r="E8" s="94">
        <f>IF($C$2=16,C8*2,0)</f>
        <v>0</v>
      </c>
      <c r="F8" s="95"/>
      <c r="G8" s="2"/>
      <c r="H8" s="96" t="s">
        <v>12</v>
      </c>
      <c r="I8" s="97"/>
      <c r="J8" s="98">
        <f>10*2</f>
        <v>20</v>
      </c>
      <c r="K8" s="99"/>
      <c r="L8" s="8">
        <v>113</v>
      </c>
      <c r="M8" s="100">
        <f>IF($C$2&gt;20,IF($F$2&gt;J8,J8,$F$2),0)</f>
        <v>0</v>
      </c>
      <c r="N8" s="101"/>
      <c r="O8" s="102">
        <f>L8*M8</f>
        <v>0</v>
      </c>
      <c r="P8" s="103"/>
      <c r="Q8" s="2"/>
      <c r="S8" s="7">
        <v>16</v>
      </c>
      <c r="T8" s="92">
        <v>1120</v>
      </c>
      <c r="U8" s="93"/>
      <c r="V8" s="94">
        <f>IF($C$2=16,T8*2,0)</f>
        <v>0</v>
      </c>
      <c r="W8" s="95"/>
      <c r="X8" s="2"/>
      <c r="Y8" s="96" t="s">
        <v>34</v>
      </c>
      <c r="Z8" s="97"/>
      <c r="AA8" s="98">
        <f>10*2</f>
        <v>20</v>
      </c>
      <c r="AB8" s="99"/>
      <c r="AC8" s="8">
        <v>89</v>
      </c>
      <c r="AD8" s="100">
        <f>IF($C$2&gt;16,IF($F$2&gt;AA8,AA8,$F$2),0)</f>
        <v>0</v>
      </c>
      <c r="AE8" s="101"/>
      <c r="AF8" s="102">
        <f>AC8*AD8</f>
        <v>0</v>
      </c>
      <c r="AG8" s="103"/>
    </row>
    <row r="9" spans="2:33" ht="20.100000000000001" customHeight="1">
      <c r="B9" s="7">
        <v>20</v>
      </c>
      <c r="C9" s="92">
        <v>2790</v>
      </c>
      <c r="D9" s="93"/>
      <c r="E9" s="94">
        <f>IF($C$2=20,C9*2,0)</f>
        <v>0</v>
      </c>
      <c r="F9" s="95"/>
      <c r="G9" s="2"/>
      <c r="H9" s="116">
        <f>J8+1</f>
        <v>21</v>
      </c>
      <c r="I9" s="117"/>
      <c r="J9" s="98">
        <f>30*2</f>
        <v>60</v>
      </c>
      <c r="K9" s="99"/>
      <c r="L9" s="8">
        <v>130</v>
      </c>
      <c r="M9" s="100">
        <f>IF($F$2&lt;H9,0,IF($F$2&gt;J9,(J9-J8),$F$2-J8))</f>
        <v>0</v>
      </c>
      <c r="N9" s="101"/>
      <c r="O9" s="102">
        <f>L9*M9</f>
        <v>0</v>
      </c>
      <c r="P9" s="103"/>
      <c r="Q9" s="2"/>
      <c r="S9" s="7">
        <v>20</v>
      </c>
      <c r="T9" s="92">
        <v>2090</v>
      </c>
      <c r="U9" s="93"/>
      <c r="V9" s="94">
        <f>IF($C$2=20,T9*2,0)</f>
        <v>0</v>
      </c>
      <c r="W9" s="95"/>
      <c r="X9" s="2"/>
      <c r="Y9" s="116">
        <f>AA8+1</f>
        <v>21</v>
      </c>
      <c r="Z9" s="117"/>
      <c r="AA9" s="98">
        <f>30*2</f>
        <v>60</v>
      </c>
      <c r="AB9" s="99"/>
      <c r="AC9" s="8">
        <v>102</v>
      </c>
      <c r="AD9" s="100">
        <f>IF($F$2&lt;Y9,0,IF($F$2&gt;AA9,(AA9-AA8),$F$2-AA8))</f>
        <v>0</v>
      </c>
      <c r="AE9" s="101"/>
      <c r="AF9" s="102">
        <f>AC9*AD9</f>
        <v>0</v>
      </c>
      <c r="AG9" s="103"/>
    </row>
    <row r="10" spans="2:33" ht="20.100000000000001" customHeight="1">
      <c r="B10" s="7">
        <v>25</v>
      </c>
      <c r="C10" s="92">
        <v>4360</v>
      </c>
      <c r="D10" s="93"/>
      <c r="E10" s="94">
        <f>IF($C$2=25,C10*2,0)</f>
        <v>0</v>
      </c>
      <c r="F10" s="95"/>
      <c r="G10" s="2"/>
      <c r="H10" s="116">
        <f>J9+1</f>
        <v>61</v>
      </c>
      <c r="I10" s="117"/>
      <c r="J10" s="98">
        <f>50*2</f>
        <v>100</v>
      </c>
      <c r="K10" s="99"/>
      <c r="L10" s="8">
        <v>139</v>
      </c>
      <c r="M10" s="118">
        <f>IF($F$2&lt;H10,0,IF($F$2&gt;J10,(J10-J9),$F$2-J9))</f>
        <v>0</v>
      </c>
      <c r="N10" s="119"/>
      <c r="O10" s="102">
        <f>L10*M10</f>
        <v>0</v>
      </c>
      <c r="P10" s="103"/>
      <c r="Q10" s="2"/>
      <c r="S10" s="7">
        <v>25</v>
      </c>
      <c r="T10" s="92">
        <v>3240</v>
      </c>
      <c r="U10" s="93"/>
      <c r="V10" s="94">
        <f>IF($C$2=25,T10*2,0)</f>
        <v>0</v>
      </c>
      <c r="W10" s="95"/>
      <c r="X10" s="2"/>
      <c r="Y10" s="116">
        <f>AA9+1</f>
        <v>61</v>
      </c>
      <c r="Z10" s="117"/>
      <c r="AA10" s="98">
        <f>50*2</f>
        <v>100</v>
      </c>
      <c r="AB10" s="99"/>
      <c r="AC10" s="8">
        <v>109</v>
      </c>
      <c r="AD10" s="118">
        <f>IF($F$2&lt;Y10,0,IF($F$2&gt;AA10,(AA10-AA9),$F$2-AA9))</f>
        <v>0</v>
      </c>
      <c r="AE10" s="119"/>
      <c r="AF10" s="102">
        <f>AC10*AD10</f>
        <v>0</v>
      </c>
      <c r="AG10" s="103"/>
    </row>
    <row r="11" spans="2:33" ht="20.100000000000001" customHeight="1">
      <c r="B11" s="7">
        <v>30</v>
      </c>
      <c r="C11" s="92">
        <v>6280</v>
      </c>
      <c r="D11" s="93"/>
      <c r="E11" s="94">
        <f>IF($C$2=30,C11*2,0)</f>
        <v>0</v>
      </c>
      <c r="F11" s="95"/>
      <c r="G11" s="2"/>
      <c r="H11" s="116">
        <f>J10+1</f>
        <v>101</v>
      </c>
      <c r="I11" s="117"/>
      <c r="J11" s="98">
        <f>100*2</f>
        <v>200</v>
      </c>
      <c r="K11" s="99"/>
      <c r="L11" s="8">
        <v>161</v>
      </c>
      <c r="M11" s="118">
        <f>IF($F$2&lt;H11,0,IF($F$2&gt;J11,(J11-J10),$F$2-J10))</f>
        <v>0</v>
      </c>
      <c r="N11" s="119"/>
      <c r="O11" s="102">
        <f>L11*M11</f>
        <v>0</v>
      </c>
      <c r="P11" s="103"/>
      <c r="Q11" s="2"/>
      <c r="S11" s="7">
        <v>30</v>
      </c>
      <c r="T11" s="92">
        <v>4680</v>
      </c>
      <c r="U11" s="93"/>
      <c r="V11" s="94">
        <f>IF($C$2=30,T11*2,0)</f>
        <v>0</v>
      </c>
      <c r="W11" s="95"/>
      <c r="X11" s="2"/>
      <c r="Y11" s="116">
        <f>AA10+1</f>
        <v>101</v>
      </c>
      <c r="Z11" s="117"/>
      <c r="AA11" s="98">
        <f>100*2</f>
        <v>200</v>
      </c>
      <c r="AB11" s="99"/>
      <c r="AC11" s="8">
        <v>127</v>
      </c>
      <c r="AD11" s="118">
        <f>IF($F$2&lt;Y11,0,IF($F$2&gt;AA11,(AA11-AA10),$F$2-AA10))</f>
        <v>0</v>
      </c>
      <c r="AE11" s="119"/>
      <c r="AF11" s="102">
        <f>AC11*AD11</f>
        <v>0</v>
      </c>
      <c r="AG11" s="103"/>
    </row>
    <row r="12" spans="2:33" ht="20.100000000000001" customHeight="1">
      <c r="B12" s="7">
        <v>40</v>
      </c>
      <c r="C12" s="92">
        <v>11170</v>
      </c>
      <c r="D12" s="93"/>
      <c r="E12" s="94">
        <f>IF($C$2=40,C12*2,0)</f>
        <v>0</v>
      </c>
      <c r="F12" s="95"/>
      <c r="G12" s="2"/>
      <c r="H12" s="116">
        <f>J11+1</f>
        <v>201</v>
      </c>
      <c r="I12" s="117"/>
      <c r="J12" s="98">
        <f>300*2</f>
        <v>600</v>
      </c>
      <c r="K12" s="99"/>
      <c r="L12" s="8">
        <v>187</v>
      </c>
      <c r="M12" s="118">
        <f>IF($F$2&lt;H12,0,IF($F$2&gt;J12,(J12-J11),$F$2-J11))</f>
        <v>0</v>
      </c>
      <c r="N12" s="119"/>
      <c r="O12" s="102">
        <f>L12*M12</f>
        <v>0</v>
      </c>
      <c r="P12" s="103"/>
      <c r="Q12" s="2"/>
      <c r="S12" s="7">
        <v>40</v>
      </c>
      <c r="T12" s="92">
        <v>7910</v>
      </c>
      <c r="U12" s="93"/>
      <c r="V12" s="94">
        <f>IF($C$2=40,T12*2,0)</f>
        <v>0</v>
      </c>
      <c r="W12" s="95"/>
      <c r="X12" s="2"/>
      <c r="Y12" s="116">
        <f>AA11+1</f>
        <v>201</v>
      </c>
      <c r="Z12" s="117"/>
      <c r="AA12" s="98">
        <f>300*2</f>
        <v>600</v>
      </c>
      <c r="AB12" s="99"/>
      <c r="AC12" s="8">
        <v>147</v>
      </c>
      <c r="AD12" s="118">
        <f>IF($F$2&lt;Y12,0,IF($F$2&gt;AA12,(AA12-AA11),$F$2-AA11))</f>
        <v>0</v>
      </c>
      <c r="AE12" s="119"/>
      <c r="AF12" s="102">
        <f>AC12*AD12</f>
        <v>0</v>
      </c>
      <c r="AG12" s="103"/>
    </row>
    <row r="13" spans="2:33" ht="20.100000000000001" customHeight="1" thickBot="1">
      <c r="B13" s="7">
        <v>50</v>
      </c>
      <c r="C13" s="92">
        <v>17460</v>
      </c>
      <c r="D13" s="93"/>
      <c r="E13" s="94">
        <f>IF($C$2=50,C13*2,0)</f>
        <v>0</v>
      </c>
      <c r="F13" s="95"/>
      <c r="G13" s="2"/>
      <c r="H13" s="124">
        <f>J12+1</f>
        <v>601</v>
      </c>
      <c r="I13" s="125"/>
      <c r="J13" s="126" t="s">
        <v>13</v>
      </c>
      <c r="K13" s="127"/>
      <c r="L13" s="9">
        <v>218</v>
      </c>
      <c r="M13" s="128">
        <f>IF($F$2&lt;H13,0,$F$2-J12)</f>
        <v>0</v>
      </c>
      <c r="N13" s="129"/>
      <c r="O13" s="130">
        <f>L13*M13</f>
        <v>0</v>
      </c>
      <c r="P13" s="131"/>
      <c r="Q13" s="2"/>
      <c r="S13" s="7">
        <v>50</v>
      </c>
      <c r="T13" s="92">
        <v>12860</v>
      </c>
      <c r="U13" s="93"/>
      <c r="V13" s="94">
        <f>IF($C$2=50,T13*2,0)</f>
        <v>0</v>
      </c>
      <c r="W13" s="95"/>
      <c r="X13" s="2"/>
      <c r="Y13" s="124">
        <f>AA12+1</f>
        <v>601</v>
      </c>
      <c r="Z13" s="125"/>
      <c r="AA13" s="126" t="s">
        <v>13</v>
      </c>
      <c r="AB13" s="127"/>
      <c r="AC13" s="9">
        <v>172</v>
      </c>
      <c r="AD13" s="128">
        <f>IF($F$2&lt;Y13,0,$F$2-AA12)</f>
        <v>0</v>
      </c>
      <c r="AE13" s="129"/>
      <c r="AF13" s="130">
        <f>AC13*AD13</f>
        <v>0</v>
      </c>
      <c r="AG13" s="131"/>
    </row>
    <row r="14" spans="2:33" ht="20.100000000000001" customHeight="1" thickBot="1">
      <c r="B14" s="7">
        <v>75</v>
      </c>
      <c r="C14" s="92">
        <v>39280</v>
      </c>
      <c r="D14" s="93"/>
      <c r="E14" s="94">
        <f>IF($C$2=75,C14*2,0)</f>
        <v>0</v>
      </c>
      <c r="F14" s="95"/>
      <c r="G14" s="2"/>
      <c r="H14" s="10"/>
      <c r="I14" s="10"/>
      <c r="J14" s="11"/>
      <c r="K14" s="11"/>
      <c r="L14" s="12"/>
      <c r="M14" s="120">
        <f>SUM(M7:N13)</f>
        <v>0</v>
      </c>
      <c r="N14" s="121"/>
      <c r="O14" s="122">
        <f>SUM(O7:P13)</f>
        <v>0</v>
      </c>
      <c r="P14" s="123"/>
      <c r="Q14" s="2"/>
      <c r="S14" s="7">
        <v>75</v>
      </c>
      <c r="T14" s="92">
        <v>28900</v>
      </c>
      <c r="U14" s="93"/>
      <c r="V14" s="94">
        <f>IF($C$2=75,T14*2,0)</f>
        <v>0</v>
      </c>
      <c r="W14" s="95"/>
      <c r="X14" s="2"/>
      <c r="Y14" s="10"/>
      <c r="Z14" s="10"/>
      <c r="AA14" s="11"/>
      <c r="AB14" s="11"/>
      <c r="AC14" s="12"/>
      <c r="AD14" s="120">
        <f>SUM(AD7:AE13)</f>
        <v>0</v>
      </c>
      <c r="AE14" s="121"/>
      <c r="AF14" s="122">
        <f>SUM(AF7:AG13)</f>
        <v>0</v>
      </c>
      <c r="AG14" s="123"/>
    </row>
    <row r="15" spans="2:33" ht="20.100000000000001" customHeight="1">
      <c r="B15" s="7">
        <v>100</v>
      </c>
      <c r="C15" s="92">
        <v>69820</v>
      </c>
      <c r="D15" s="93"/>
      <c r="E15" s="94">
        <f>IF($C$2=100,C15*2,0)</f>
        <v>0</v>
      </c>
      <c r="F15" s="9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S15" s="7">
        <v>100</v>
      </c>
      <c r="T15" s="92">
        <v>51300</v>
      </c>
      <c r="U15" s="93"/>
      <c r="V15" s="94">
        <f>IF($C$2=100,T15*2,0)</f>
        <v>0</v>
      </c>
      <c r="W15" s="95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2:33" ht="20.100000000000001" customHeight="1">
      <c r="B16" s="7">
        <v>150</v>
      </c>
      <c r="C16" s="92">
        <v>157100</v>
      </c>
      <c r="D16" s="93"/>
      <c r="E16" s="94">
        <f>IF($C$2=150,C16*2,0)</f>
        <v>0</v>
      </c>
      <c r="F16" s="9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S16" s="7">
        <v>150</v>
      </c>
      <c r="T16" s="92">
        <v>116200</v>
      </c>
      <c r="U16" s="93"/>
      <c r="V16" s="94">
        <f>IF($C$2=150,T16*2,0)</f>
        <v>0</v>
      </c>
      <c r="W16" s="95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ht="20.100000000000001" customHeight="1" thickBot="1">
      <c r="B17" s="13">
        <v>200</v>
      </c>
      <c r="C17" s="141">
        <v>279290</v>
      </c>
      <c r="D17" s="142"/>
      <c r="E17" s="143">
        <f>IF($C$2=200,C17*2,0)</f>
        <v>0</v>
      </c>
      <c r="F17" s="14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S17" s="13">
        <v>200</v>
      </c>
      <c r="T17" s="141">
        <v>208200</v>
      </c>
      <c r="U17" s="142"/>
      <c r="V17" s="143">
        <f>IF($C$2=200,T17*2,0)</f>
        <v>0</v>
      </c>
      <c r="W17" s="144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ht="20.100000000000001" customHeight="1" thickBot="1">
      <c r="B18" s="10"/>
      <c r="C18" s="10"/>
      <c r="D18" s="10"/>
      <c r="E18" s="145">
        <f>SUM(E7:F17)</f>
        <v>2360</v>
      </c>
      <c r="F18" s="1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S18" s="10"/>
      <c r="T18" s="10"/>
      <c r="U18" s="10"/>
      <c r="V18" s="145">
        <f>SUM(V7:W17)</f>
        <v>1760</v>
      </c>
      <c r="W18" s="123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ht="20.100000000000001" customHeigh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33" ht="20.100000000000001" customHeight="1" thickBot="1"/>
    <row r="21" spans="2:33" ht="20.100000000000001" customHeight="1" thickTop="1" thickBot="1">
      <c r="B21" s="1" t="s">
        <v>14</v>
      </c>
      <c r="J21" s="15" t="s">
        <v>22</v>
      </c>
      <c r="K21" s="16">
        <f>IF(Niigata!C16="あり",1,0)</f>
        <v>1</v>
      </c>
    </row>
    <row r="22" spans="2:33" ht="20.100000000000001" customHeight="1" thickTop="1">
      <c r="B22" s="146" t="s">
        <v>15</v>
      </c>
      <c r="C22" s="147"/>
      <c r="D22" s="147"/>
      <c r="E22" s="147"/>
      <c r="F22" s="147"/>
      <c r="G22" s="148"/>
      <c r="H22" s="189" t="s">
        <v>16</v>
      </c>
      <c r="I22" s="189"/>
      <c r="J22" s="190"/>
      <c r="K22" s="191"/>
    </row>
    <row r="23" spans="2:33" ht="20.100000000000001" customHeight="1" thickBot="1">
      <c r="B23" s="132" t="s">
        <v>6</v>
      </c>
      <c r="C23" s="133"/>
      <c r="D23" s="134" t="s">
        <v>7</v>
      </c>
      <c r="E23" s="134"/>
      <c r="F23" s="135" t="s">
        <v>8</v>
      </c>
      <c r="G23" s="136"/>
      <c r="H23" s="137" t="s">
        <v>9</v>
      </c>
      <c r="I23" s="138"/>
      <c r="J23" s="139" t="s">
        <v>10</v>
      </c>
      <c r="K23" s="140"/>
    </row>
    <row r="24" spans="2:33" ht="20.100000000000001" customHeight="1" thickTop="1">
      <c r="B24" s="149" t="s">
        <v>17</v>
      </c>
      <c r="C24" s="150"/>
      <c r="D24" s="151">
        <f>10*2</f>
        <v>20</v>
      </c>
      <c r="E24" s="151"/>
      <c r="F24" s="152">
        <f>1190*2</f>
        <v>2380</v>
      </c>
      <c r="G24" s="153"/>
      <c r="H24" s="154">
        <f>IF($F$2&gt;D24,D24,$F$2)</f>
        <v>0</v>
      </c>
      <c r="I24" s="155"/>
      <c r="J24" s="156">
        <v>0</v>
      </c>
      <c r="K24" s="157"/>
    </row>
    <row r="25" spans="2:33" ht="20.100000000000001" customHeight="1">
      <c r="B25" s="158">
        <f>D24+1</f>
        <v>21</v>
      </c>
      <c r="C25" s="99"/>
      <c r="D25" s="117">
        <f>30*2</f>
        <v>60</v>
      </c>
      <c r="E25" s="117"/>
      <c r="F25" s="159">
        <v>158</v>
      </c>
      <c r="G25" s="160"/>
      <c r="H25" s="161">
        <f>IF($F$2&lt;B25,0,IF($F$2&gt;D25,(D25-D24),$F$2-D24))</f>
        <v>0</v>
      </c>
      <c r="I25" s="162"/>
      <c r="J25" s="163">
        <f>F25*H25</f>
        <v>0</v>
      </c>
      <c r="K25" s="164"/>
    </row>
    <row r="26" spans="2:33" ht="20.100000000000001" customHeight="1">
      <c r="B26" s="158">
        <f>D25+1</f>
        <v>61</v>
      </c>
      <c r="C26" s="99"/>
      <c r="D26" s="117">
        <f>100*2</f>
        <v>200</v>
      </c>
      <c r="E26" s="117"/>
      <c r="F26" s="159">
        <v>191</v>
      </c>
      <c r="G26" s="160"/>
      <c r="H26" s="161">
        <f>IF($F$2&lt;B26,0,IF($F$2&gt;D26,(D26-D25),$F$2-D25))</f>
        <v>0</v>
      </c>
      <c r="I26" s="162"/>
      <c r="J26" s="163">
        <f>F26*H26</f>
        <v>0</v>
      </c>
      <c r="K26" s="164"/>
    </row>
    <row r="27" spans="2:33" ht="20.100000000000001" customHeight="1">
      <c r="B27" s="158">
        <f>D26+1</f>
        <v>201</v>
      </c>
      <c r="C27" s="99"/>
      <c r="D27" s="117">
        <f>500*2</f>
        <v>1000</v>
      </c>
      <c r="E27" s="117"/>
      <c r="F27" s="159">
        <v>246</v>
      </c>
      <c r="G27" s="160"/>
      <c r="H27" s="161">
        <f>IF($F$2&lt;B27,0,IF($F$2&gt;D27,(D27-D26),$F$2-D26))</f>
        <v>0</v>
      </c>
      <c r="I27" s="162"/>
      <c r="J27" s="163">
        <f>F27*H27</f>
        <v>0</v>
      </c>
      <c r="K27" s="164"/>
    </row>
    <row r="28" spans="2:33" ht="20.100000000000001" customHeight="1" thickBot="1">
      <c r="B28" s="169">
        <f>D27+1</f>
        <v>1001</v>
      </c>
      <c r="C28" s="170"/>
      <c r="D28" s="125" t="s">
        <v>18</v>
      </c>
      <c r="E28" s="125"/>
      <c r="F28" s="171">
        <v>314</v>
      </c>
      <c r="G28" s="172"/>
      <c r="H28" s="173">
        <f>IF($F$2&lt;B28,0,IF($F$2&gt;D27,$F$2-D27))</f>
        <v>0</v>
      </c>
      <c r="I28" s="174"/>
      <c r="J28" s="175">
        <f>F28*H28</f>
        <v>0</v>
      </c>
      <c r="K28" s="176"/>
    </row>
    <row r="29" spans="2:33" ht="20.100000000000001" customHeight="1">
      <c r="B29" s="14"/>
      <c r="C29" s="14"/>
      <c r="D29" s="11"/>
      <c r="E29" s="11"/>
      <c r="F29" s="177" t="s">
        <v>19</v>
      </c>
      <c r="G29" s="178"/>
      <c r="H29" s="179">
        <f>SUM(H24:I28)</f>
        <v>0</v>
      </c>
      <c r="I29" s="180"/>
      <c r="J29" s="181">
        <f>IF(K21=0,0,(J25+J26+J27+J28))</f>
        <v>0</v>
      </c>
      <c r="K29" s="182"/>
    </row>
    <row r="30" spans="2:33" ht="20.100000000000001" customHeight="1" thickBot="1">
      <c r="F30" s="183" t="s">
        <v>17</v>
      </c>
      <c r="G30" s="184"/>
      <c r="H30" s="185">
        <v>2</v>
      </c>
      <c r="I30" s="186"/>
      <c r="J30" s="187">
        <f>F24</f>
        <v>2380</v>
      </c>
      <c r="K30" s="188"/>
    </row>
    <row r="31" spans="2:33" ht="20.100000000000001" customHeight="1" thickBot="1">
      <c r="B31" s="2"/>
      <c r="C31" s="2"/>
      <c r="D31" s="2"/>
      <c r="E31" s="2"/>
      <c r="F31" s="2"/>
      <c r="G31" s="2"/>
      <c r="H31" s="165" t="s">
        <v>23</v>
      </c>
      <c r="I31" s="166"/>
      <c r="J31" s="167">
        <f>IF(K21=1,ROUNDDOWN(J29+J30,-1),0)</f>
        <v>2380</v>
      </c>
      <c r="K31" s="168"/>
    </row>
    <row r="32" spans="2:33" ht="20.100000000000001" customHeight="1"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70">
    <mergeCell ref="B5:F5"/>
    <mergeCell ref="H5:L5"/>
    <mergeCell ref="M5:P5"/>
    <mergeCell ref="C6:D6"/>
    <mergeCell ref="E6:F6"/>
    <mergeCell ref="H6:I6"/>
    <mergeCell ref="J6:K6"/>
    <mergeCell ref="M6:N6"/>
    <mergeCell ref="O6:P6"/>
    <mergeCell ref="C7:D7"/>
    <mergeCell ref="E7:F7"/>
    <mergeCell ref="H7:I7"/>
    <mergeCell ref="J7:K7"/>
    <mergeCell ref="M7:N7"/>
    <mergeCell ref="O7:P7"/>
    <mergeCell ref="C8:D8"/>
    <mergeCell ref="E8:F8"/>
    <mergeCell ref="H8:I8"/>
    <mergeCell ref="J8:K8"/>
    <mergeCell ref="M8:N8"/>
    <mergeCell ref="O8:P8"/>
    <mergeCell ref="C9:D9"/>
    <mergeCell ref="E9:F9"/>
    <mergeCell ref="H9:I9"/>
    <mergeCell ref="J9:K9"/>
    <mergeCell ref="M9:N9"/>
    <mergeCell ref="O9:P9"/>
    <mergeCell ref="C10:D10"/>
    <mergeCell ref="E10:F10"/>
    <mergeCell ref="H10:I10"/>
    <mergeCell ref="J10:K10"/>
    <mergeCell ref="M10:N10"/>
    <mergeCell ref="O10:P10"/>
    <mergeCell ref="C11:D11"/>
    <mergeCell ref="E11:F11"/>
    <mergeCell ref="H11:I11"/>
    <mergeCell ref="J11:K11"/>
    <mergeCell ref="M11:N11"/>
    <mergeCell ref="O11:P11"/>
    <mergeCell ref="O13:P13"/>
    <mergeCell ref="C12:D12"/>
    <mergeCell ref="E12:F12"/>
    <mergeCell ref="H12:I12"/>
    <mergeCell ref="J12:K12"/>
    <mergeCell ref="M12:N12"/>
    <mergeCell ref="O12:P12"/>
    <mergeCell ref="E14:F14"/>
    <mergeCell ref="M14:N14"/>
    <mergeCell ref="O14:P14"/>
    <mergeCell ref="C15:D15"/>
    <mergeCell ref="E15:F15"/>
    <mergeCell ref="C13:D13"/>
    <mergeCell ref="E13:F13"/>
    <mergeCell ref="H13:I13"/>
    <mergeCell ref="J13:K13"/>
    <mergeCell ref="M13:N13"/>
    <mergeCell ref="B23:C23"/>
    <mergeCell ref="D23:E23"/>
    <mergeCell ref="F23:G23"/>
    <mergeCell ref="H23:I23"/>
    <mergeCell ref="J23:K23"/>
    <mergeCell ref="C16:D16"/>
    <mergeCell ref="E16:F16"/>
    <mergeCell ref="C17:D17"/>
    <mergeCell ref="E17:F17"/>
    <mergeCell ref="E18:F18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H31:I31"/>
    <mergeCell ref="J31:K31"/>
    <mergeCell ref="B28:C28"/>
    <mergeCell ref="D28:E28"/>
    <mergeCell ref="F28:G28"/>
    <mergeCell ref="H28:I28"/>
    <mergeCell ref="J28:K28"/>
    <mergeCell ref="F29:G29"/>
    <mergeCell ref="H29:I29"/>
    <mergeCell ref="J29:K29"/>
    <mergeCell ref="AD7:AE7"/>
    <mergeCell ref="AF7:AG7"/>
    <mergeCell ref="T8:U8"/>
    <mergeCell ref="V8:W8"/>
    <mergeCell ref="Y8:Z8"/>
    <mergeCell ref="AA8:AB8"/>
    <mergeCell ref="AD8:AE8"/>
    <mergeCell ref="AF8:AG8"/>
    <mergeCell ref="F30:G30"/>
    <mergeCell ref="H30:I30"/>
    <mergeCell ref="J30:K30"/>
    <mergeCell ref="H22:K22"/>
    <mergeCell ref="Y7:Z7"/>
    <mergeCell ref="AA7:AB7"/>
    <mergeCell ref="Y9:Z9"/>
    <mergeCell ref="AA9:AB9"/>
    <mergeCell ref="B22:G22"/>
    <mergeCell ref="C14:D14"/>
    <mergeCell ref="Y13:Z13"/>
    <mergeCell ref="AA13:AB13"/>
    <mergeCell ref="AD13:AE13"/>
    <mergeCell ref="AF13:AG13"/>
    <mergeCell ref="Y5:AC5"/>
    <mergeCell ref="AD5:AG5"/>
    <mergeCell ref="Y6:Z6"/>
    <mergeCell ref="AA6:AB6"/>
    <mergeCell ref="AD6:AE6"/>
    <mergeCell ref="AF6:AG6"/>
    <mergeCell ref="Y12:Z12"/>
    <mergeCell ref="AA12:AB12"/>
    <mergeCell ref="AD12:AE12"/>
    <mergeCell ref="AF12:AG12"/>
    <mergeCell ref="AD9:AE9"/>
    <mergeCell ref="AF9:AG9"/>
    <mergeCell ref="Y10:Z10"/>
    <mergeCell ref="AA10:AB10"/>
    <mergeCell ref="AD10:AE10"/>
    <mergeCell ref="AF10:AG10"/>
    <mergeCell ref="AD14:AE14"/>
    <mergeCell ref="AF14:AG14"/>
    <mergeCell ref="T11:U11"/>
    <mergeCell ref="V11:W11"/>
    <mergeCell ref="Y11:Z11"/>
    <mergeCell ref="AA11:AB11"/>
    <mergeCell ref="AD11:AE11"/>
    <mergeCell ref="AF11:AG11"/>
    <mergeCell ref="T12:U12"/>
    <mergeCell ref="V12:W12"/>
    <mergeCell ref="T15:U15"/>
    <mergeCell ref="V15:W15"/>
    <mergeCell ref="T16:U16"/>
    <mergeCell ref="V16:W16"/>
    <mergeCell ref="T17:U17"/>
    <mergeCell ref="V17:W17"/>
    <mergeCell ref="V9:W9"/>
    <mergeCell ref="T7:U7"/>
    <mergeCell ref="V7:W7"/>
    <mergeCell ref="S5:W5"/>
    <mergeCell ref="T14:U14"/>
    <mergeCell ref="V14:W14"/>
    <mergeCell ref="T10:U10"/>
    <mergeCell ref="V10:W10"/>
    <mergeCell ref="T6:U6"/>
    <mergeCell ref="V6:W6"/>
    <mergeCell ref="H2:I2"/>
    <mergeCell ref="J2:K2"/>
    <mergeCell ref="O2:P2"/>
    <mergeCell ref="M2:N2"/>
    <mergeCell ref="V18:W18"/>
    <mergeCell ref="S2:T2"/>
    <mergeCell ref="U2:V2"/>
    <mergeCell ref="T13:U13"/>
    <mergeCell ref="V13:W13"/>
    <mergeCell ref="T9:U9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Niigata</vt:lpstr>
      <vt:lpstr>Sheet1</vt:lpstr>
      <vt:lpstr>Niigata!Print_Area</vt:lpstr>
    </vt:vector>
  </TitlesOfParts>
  <Company>新潟市水道局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新潟市水道局</dc:creator>
  <cp:lastModifiedBy>新潟市水道局</cp:lastModifiedBy>
  <cp:lastPrinted>2024-08-05T08:03:07Z</cp:lastPrinted>
  <dcterms:created xsi:type="dcterms:W3CDTF">2024-06-24T06:33:38Z</dcterms:created>
  <dcterms:modified xsi:type="dcterms:W3CDTF">2024-08-06T02:12:19Z</dcterms:modified>
</cp:coreProperties>
</file>